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škola\diplomka\final\"/>
    </mc:Choice>
  </mc:AlternateContent>
  <bookViews>
    <workbookView xWindow="0" yWindow="0" windowWidth="23280" windowHeight="12600" firstSheet="1" activeTab="1"/>
  </bookViews>
  <sheets>
    <sheet name="Kompresor" sheetId="1" r:id="rId1"/>
    <sheet name="SCOP" sheetId="3" r:id="rId2"/>
    <sheet name="kond+výpar" sheetId="14" r:id="rId3"/>
    <sheet name="varianty" sheetId="15" r:id="rId4"/>
    <sheet name="B0W35" sheetId="13" r:id="rId5"/>
    <sheet name="počty hodin" sheetId="7" r:id="rId6"/>
    <sheet name="částečné zatížení" sheetId="8" r:id="rId7"/>
    <sheet name="oblasti" sheetId="4" r:id="rId8"/>
    <sheet name="COP" sheetId="9" r:id="rId9"/>
    <sheet name="štítky" sheetId="10" r:id="rId10"/>
    <sheet name="Oběhová čerpadla" sheetId="11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15" l="1"/>
  <c r="E155" i="15"/>
  <c r="B155" i="15"/>
  <c r="E139" i="15"/>
  <c r="B139" i="15"/>
  <c r="E123" i="15"/>
  <c r="B123" i="15"/>
  <c r="E107" i="15"/>
  <c r="B107" i="15"/>
  <c r="E91" i="15"/>
  <c r="B91" i="15"/>
  <c r="E75" i="15"/>
  <c r="B75" i="15"/>
  <c r="E59" i="15"/>
  <c r="B59" i="15"/>
  <c r="E43" i="15"/>
  <c r="B43" i="15"/>
  <c r="E26" i="15"/>
  <c r="B26" i="15"/>
  <c r="E9" i="15"/>
  <c r="B9" i="15"/>
  <c r="Q35" i="3" l="1"/>
  <c r="I5" i="3"/>
  <c r="I6" i="3" s="1"/>
  <c r="I7" i="3" s="1"/>
  <c r="I8" i="3" s="1"/>
  <c r="I9" i="3" s="1"/>
  <c r="I10" i="3" s="1"/>
  <c r="I11" i="3" s="1"/>
  <c r="I12" i="3" s="1"/>
  <c r="I13" i="3" s="1"/>
  <c r="I14" i="3" s="1"/>
  <c r="I15" i="3" s="1"/>
  <c r="J17" i="3"/>
  <c r="N17" i="3" s="1"/>
  <c r="J16" i="3"/>
  <c r="N16" i="3" s="1"/>
  <c r="J27" i="3"/>
  <c r="N27" i="3" s="1"/>
  <c r="J22" i="3"/>
  <c r="N22" i="3" s="1"/>
  <c r="J7" i="3"/>
  <c r="N7" i="3" s="1"/>
  <c r="J4" i="3"/>
  <c r="O4" i="3" s="1"/>
  <c r="D18" i="8"/>
  <c r="D17" i="8"/>
  <c r="D16" i="8"/>
  <c r="D15" i="8"/>
  <c r="E24" i="13"/>
  <c r="B24" i="13"/>
  <c r="E8" i="13"/>
  <c r="B8" i="13"/>
  <c r="J20" i="3" l="1"/>
  <c r="J21" i="3"/>
  <c r="N21" i="3" s="1"/>
  <c r="J18" i="3"/>
  <c r="J19" i="3"/>
  <c r="N20" i="3"/>
  <c r="N4" i="3"/>
  <c r="P4" i="3" s="1"/>
  <c r="R4" i="3" s="1"/>
  <c r="J8" i="3"/>
  <c r="N8" i="3" s="1"/>
  <c r="J30" i="3"/>
  <c r="N30" i="3" s="1"/>
  <c r="J23" i="3"/>
  <c r="N23" i="3" s="1"/>
  <c r="J28" i="3"/>
  <c r="N28" i="3" s="1"/>
  <c r="J26" i="3"/>
  <c r="N26" i="3" s="1"/>
  <c r="N19" i="3"/>
  <c r="J24" i="3"/>
  <c r="N24" i="3" s="1"/>
  <c r="J29" i="3"/>
  <c r="N29" i="3" s="1"/>
  <c r="J25" i="3"/>
  <c r="N25" i="3" s="1"/>
  <c r="J15" i="3"/>
  <c r="N15" i="3" s="1"/>
  <c r="J9" i="3"/>
  <c r="N9" i="3" s="1"/>
  <c r="J13" i="3"/>
  <c r="N13" i="3" s="1"/>
  <c r="J12" i="3"/>
  <c r="N12" i="3" s="1"/>
  <c r="J5" i="3"/>
  <c r="N5" i="3" s="1"/>
  <c r="J10" i="3"/>
  <c r="N10" i="3" s="1"/>
  <c r="J14" i="3"/>
  <c r="N14" i="3" s="1"/>
  <c r="J6" i="3"/>
  <c r="N6" i="3" s="1"/>
  <c r="J11" i="3"/>
  <c r="N11" i="3" s="1"/>
  <c r="I16" i="3" l="1"/>
  <c r="I17" i="3" l="1"/>
  <c r="Q16" i="3"/>
  <c r="Q17" i="3"/>
  <c r="O17" i="3" l="1"/>
  <c r="P17" i="3" s="1"/>
  <c r="R17" i="3" s="1"/>
  <c r="I18" i="3"/>
  <c r="I19" i="3" s="1"/>
  <c r="I20" i="3" s="1"/>
  <c r="I21" i="3" s="1"/>
  <c r="I22" i="3" s="1"/>
  <c r="I23" i="3" s="1"/>
  <c r="I24" i="3" s="1"/>
  <c r="I25" i="3" s="1"/>
  <c r="I26" i="3" s="1"/>
  <c r="I27" i="3" s="1"/>
  <c r="I28" i="3" s="1"/>
  <c r="I29" i="3" s="1"/>
  <c r="I30" i="3" s="1"/>
  <c r="D8" i="8"/>
  <c r="D7" i="8"/>
  <c r="D6" i="8"/>
  <c r="D5" i="8"/>
  <c r="E43" i="4"/>
  <c r="D43" i="4"/>
  <c r="C43" i="4"/>
  <c r="O5" i="3" l="1"/>
  <c r="P5" i="3" s="1"/>
  <c r="R5" i="3" s="1"/>
  <c r="Q4" i="3"/>
  <c r="Q5" i="3"/>
  <c r="O6" i="3" l="1"/>
  <c r="P6" i="3" s="1"/>
  <c r="R6" i="3" s="1"/>
  <c r="Q6" i="3"/>
  <c r="O7" i="3" l="1"/>
  <c r="P7" i="3" s="1"/>
  <c r="R7" i="3" s="1"/>
  <c r="Q7" i="3"/>
  <c r="O8" i="3" l="1"/>
  <c r="P8" i="3" s="1"/>
  <c r="R8" i="3" s="1"/>
  <c r="Q8" i="3"/>
  <c r="O9" i="3" l="1"/>
  <c r="P9" i="3" s="1"/>
  <c r="R9" i="3" s="1"/>
  <c r="Q9" i="3"/>
  <c r="O10" i="3" l="1"/>
  <c r="P10" i="3" s="1"/>
  <c r="R10" i="3" s="1"/>
  <c r="Q10" i="3"/>
  <c r="O11" i="3" l="1"/>
  <c r="P11" i="3" s="1"/>
  <c r="R11" i="3" s="1"/>
  <c r="Q11" i="3"/>
  <c r="O12" i="3" l="1"/>
  <c r="P12" i="3" s="1"/>
  <c r="R12" i="3" s="1"/>
  <c r="Q12" i="3"/>
  <c r="O13" i="3" l="1"/>
  <c r="P13" i="3" s="1"/>
  <c r="R13" i="3" s="1"/>
  <c r="Q13" i="3"/>
  <c r="O14" i="3" l="1"/>
  <c r="P14" i="3" s="1"/>
  <c r="R14" i="3" s="1"/>
  <c r="Q14" i="3"/>
  <c r="O15" i="3" l="1"/>
  <c r="P15" i="3" s="1"/>
  <c r="R15" i="3" s="1"/>
  <c r="Q15" i="3"/>
  <c r="O16" i="3" l="1"/>
  <c r="P16" i="3" s="1"/>
  <c r="R16" i="3" s="1"/>
  <c r="O18" i="3" l="1"/>
  <c r="Q18" i="3"/>
  <c r="O19" i="3" l="1"/>
  <c r="P19" i="3" s="1"/>
  <c r="R19" i="3" s="1"/>
  <c r="Q19" i="3"/>
  <c r="O20" i="3" l="1"/>
  <c r="P20" i="3" s="1"/>
  <c r="R20" i="3" s="1"/>
  <c r="Q20" i="3"/>
  <c r="O21" i="3" l="1"/>
  <c r="P21" i="3" s="1"/>
  <c r="R21" i="3" s="1"/>
  <c r="Q21" i="3"/>
  <c r="O22" i="3" l="1"/>
  <c r="P22" i="3" s="1"/>
  <c r="R22" i="3" s="1"/>
  <c r="Q22" i="3"/>
  <c r="O23" i="3" l="1"/>
  <c r="P23" i="3" s="1"/>
  <c r="R23" i="3" s="1"/>
  <c r="Q23" i="3"/>
  <c r="O24" i="3" l="1"/>
  <c r="P24" i="3" s="1"/>
  <c r="R24" i="3" s="1"/>
  <c r="Q24" i="3"/>
  <c r="O25" i="3" l="1"/>
  <c r="P25" i="3" s="1"/>
  <c r="R25" i="3" s="1"/>
  <c r="Q25" i="3"/>
  <c r="O26" i="3" l="1"/>
  <c r="P26" i="3" s="1"/>
  <c r="R26" i="3" s="1"/>
  <c r="Q26" i="3"/>
  <c r="O27" i="3" l="1"/>
  <c r="P27" i="3" s="1"/>
  <c r="R27" i="3" s="1"/>
  <c r="Q27" i="3"/>
  <c r="O28" i="3" l="1"/>
  <c r="P28" i="3" s="1"/>
  <c r="R28" i="3" s="1"/>
  <c r="Q28" i="3"/>
  <c r="O29" i="3" l="1"/>
  <c r="P29" i="3" s="1"/>
  <c r="R29" i="3" s="1"/>
  <c r="Q29" i="3"/>
  <c r="Q30" i="3" l="1"/>
  <c r="Q31" i="3" s="1"/>
  <c r="O30" i="3"/>
  <c r="P30" i="3" s="1"/>
  <c r="R30" i="3" s="1"/>
  <c r="N18" i="3"/>
  <c r="P18" i="3" s="1"/>
  <c r="R18" i="3" s="1"/>
  <c r="R31" i="3" l="1"/>
  <c r="P34" i="3" s="1"/>
</calcChain>
</file>

<file path=xl/sharedStrings.xml><?xml version="1.0" encoding="utf-8"?>
<sst xmlns="http://schemas.openxmlformats.org/spreadsheetml/2006/main" count="980" uniqueCount="239">
  <si>
    <t>ZH12K1P-TFM</t>
  </si>
  <si>
    <t>ZH19K1P-TFM</t>
  </si>
  <si>
    <t>ZH15K1P-TFM</t>
  </si>
  <si>
    <t>ZH09K1P-TFM</t>
  </si>
  <si>
    <t>ZH06K1P-TFM</t>
  </si>
  <si>
    <t>ZH05K1P-TFM</t>
  </si>
  <si>
    <t>ZH04K1P-TFM</t>
  </si>
  <si>
    <r>
      <t>výkonnost [m</t>
    </r>
    <r>
      <rPr>
        <b/>
        <vertAlign val="superscript"/>
        <sz val="11"/>
        <color theme="1"/>
        <rFont val="Calibri"/>
        <family val="2"/>
        <charset val="238"/>
        <scheme val="minor"/>
      </rPr>
      <t>3</t>
    </r>
    <r>
      <rPr>
        <b/>
        <sz val="11"/>
        <color theme="1"/>
        <rFont val="Calibri"/>
        <family val="2"/>
        <charset val="238"/>
        <scheme val="minor"/>
      </rPr>
      <t>/h]</t>
    </r>
  </si>
  <si>
    <t>hm. tok [g/s]</t>
  </si>
  <si>
    <t>chladící výkon [kW]</t>
  </si>
  <si>
    <t>chl.faktor [-]</t>
  </si>
  <si>
    <t>příkon [kW]</t>
  </si>
  <si>
    <t>topný výkon [kW]</t>
  </si>
  <si>
    <t>kompresor</t>
  </si>
  <si>
    <t>kW</t>
  </si>
  <si>
    <t>požadovaný topný výkon</t>
  </si>
  <si>
    <t>°C</t>
  </si>
  <si>
    <t>podchlazení</t>
  </si>
  <si>
    <t>přehřátí v sání</t>
  </si>
  <si>
    <t>kondenzační teplota</t>
  </si>
  <si>
    <t>vypařovací teplota</t>
  </si>
  <si>
    <t>R410A</t>
  </si>
  <si>
    <t>chladivo</t>
  </si>
  <si>
    <t>zadané požadavky</t>
  </si>
  <si>
    <t>chlazená látka</t>
  </si>
  <si>
    <t>30% vodný roztok etylenglykolu</t>
  </si>
  <si>
    <t>tepelné zatížení</t>
  </si>
  <si>
    <t>přehřátí</t>
  </si>
  <si>
    <t>kg/s</t>
  </si>
  <si>
    <t>topný výkon</t>
  </si>
  <si>
    <t>Ventil</t>
  </si>
  <si>
    <t>velikost</t>
  </si>
  <si>
    <t>max. výkon [kW]</t>
  </si>
  <si>
    <t>min. výkon [kW]</t>
  </si>
  <si>
    <t>tlaková ztráta [bar]</t>
  </si>
  <si>
    <t>rychlost na vstupu [m/s]</t>
  </si>
  <si>
    <t>AKV 10-7</t>
  </si>
  <si>
    <t>AKV 15-1</t>
  </si>
  <si>
    <t>AKV 15-2</t>
  </si>
  <si>
    <t>zatížení [%]</t>
  </si>
  <si>
    <t>Tbivalent</t>
  </si>
  <si>
    <t>BIN</t>
  </si>
  <si>
    <t>j</t>
  </si>
  <si>
    <t>-</t>
  </si>
  <si>
    <t>Venkovní teplota</t>
  </si>
  <si>
    <t>Počet hodin</t>
  </si>
  <si>
    <t>Topné zatížení</t>
  </si>
  <si>
    <t>COPbin (Tj)</t>
  </si>
  <si>
    <t>Roční potřeba tepla na vytápění</t>
  </si>
  <si>
    <t>Tj</t>
  </si>
  <si>
    <t>h</t>
  </si>
  <si>
    <t>hj</t>
  </si>
  <si>
    <t>Ph(Tj)</t>
  </si>
  <si>
    <t>kWh</t>
  </si>
  <si>
    <t>hj x Ph(Tj)</t>
  </si>
  <si>
    <t>Tdesign</t>
  </si>
  <si>
    <t>Plné zatížení Pdesign</t>
  </si>
  <si>
    <t>Deklarovaný výkon při Tdesign</t>
  </si>
  <si>
    <t>klima</t>
  </si>
  <si>
    <t>průměrné</t>
  </si>
  <si>
    <t>hjC</t>
  </si>
  <si>
    <t>hjA</t>
  </si>
  <si>
    <t>hjW</t>
  </si>
  <si>
    <t>Teplejší</t>
  </si>
  <si>
    <t>Průměrné</t>
  </si>
  <si>
    <t>Chladnější</t>
  </si>
  <si>
    <t>Teplota</t>
  </si>
  <si>
    <t>1 až 8</t>
  </si>
  <si>
    <t>-30 až - 33</t>
  </si>
  <si>
    <t>celkem</t>
  </si>
  <si>
    <t>Vypnutý stav</t>
  </si>
  <si>
    <t>Vypnutý termostat</t>
  </si>
  <si>
    <t>Pohotovostní režim</t>
  </si>
  <si>
    <t>Ekvivalentní počet hodin vytápění v aktivním režimu</t>
  </si>
  <si>
    <t>Topné období</t>
  </si>
  <si>
    <t>[h]</t>
  </si>
  <si>
    <t>Režim zahřívání skříně kompresoru</t>
  </si>
  <si>
    <t>A</t>
  </si>
  <si>
    <t>B</t>
  </si>
  <si>
    <t>C</t>
  </si>
  <si>
    <t>D</t>
  </si>
  <si>
    <t>E</t>
  </si>
  <si>
    <t>F</t>
  </si>
  <si>
    <r>
      <t>(-7 - 16) / (T</t>
    </r>
    <r>
      <rPr>
        <vertAlign val="subscript"/>
        <sz val="11"/>
        <color theme="1"/>
        <rFont val="Calibri"/>
        <family val="2"/>
        <charset val="238"/>
        <scheme val="minor"/>
      </rPr>
      <t>design</t>
    </r>
    <r>
      <rPr>
        <sz val="11"/>
        <color theme="1"/>
        <rFont val="Calibri"/>
        <family val="2"/>
        <charset val="238"/>
        <scheme val="minor"/>
      </rPr>
      <t xml:space="preserve"> - 16)</t>
    </r>
  </si>
  <si>
    <r>
      <t>(2 - 16) / (T</t>
    </r>
    <r>
      <rPr>
        <vertAlign val="subscript"/>
        <sz val="11"/>
        <color theme="1"/>
        <rFont val="Calibri"/>
        <family val="2"/>
        <charset val="238"/>
        <scheme val="minor"/>
      </rPr>
      <t>design</t>
    </r>
    <r>
      <rPr>
        <sz val="11"/>
        <color theme="1"/>
        <rFont val="Calibri"/>
        <family val="2"/>
        <charset val="238"/>
        <scheme val="minor"/>
      </rPr>
      <t xml:space="preserve"> - 16)</t>
    </r>
  </si>
  <si>
    <r>
      <t>(7 - 16) / (T</t>
    </r>
    <r>
      <rPr>
        <vertAlign val="subscript"/>
        <sz val="11"/>
        <color theme="1"/>
        <rFont val="Calibri"/>
        <family val="2"/>
        <charset val="238"/>
        <scheme val="minor"/>
      </rPr>
      <t>design</t>
    </r>
    <r>
      <rPr>
        <sz val="11"/>
        <color theme="1"/>
        <rFont val="Calibri"/>
        <family val="2"/>
        <charset val="238"/>
        <scheme val="minor"/>
      </rPr>
      <t xml:space="preserve"> - 16)</t>
    </r>
  </si>
  <si>
    <r>
      <t>(12 - 16) / (T</t>
    </r>
    <r>
      <rPr>
        <vertAlign val="subscript"/>
        <sz val="11"/>
        <color theme="1"/>
        <rFont val="Calibri"/>
        <family val="2"/>
        <charset val="238"/>
        <scheme val="minor"/>
      </rPr>
      <t>design</t>
    </r>
    <r>
      <rPr>
        <sz val="11"/>
        <color theme="1"/>
        <rFont val="Calibri"/>
        <family val="2"/>
        <charset val="238"/>
        <scheme val="minor"/>
      </rPr>
      <t xml:space="preserve"> - 16)</t>
    </r>
  </si>
  <si>
    <r>
      <t>(T</t>
    </r>
    <r>
      <rPr>
        <vertAlign val="subscript"/>
        <sz val="11"/>
        <color theme="1"/>
        <rFont val="Calibri"/>
        <family val="2"/>
        <charset val="238"/>
        <scheme val="minor"/>
      </rPr>
      <t>design</t>
    </r>
    <r>
      <rPr>
        <sz val="11"/>
        <color theme="1"/>
        <rFont val="Calibri"/>
        <family val="2"/>
        <charset val="238"/>
        <scheme val="minor"/>
      </rPr>
      <t xml:space="preserve"> - 16) / (T</t>
    </r>
    <r>
      <rPr>
        <vertAlign val="subscript"/>
        <sz val="11"/>
        <color theme="1"/>
        <rFont val="Calibri"/>
        <family val="2"/>
        <charset val="238"/>
        <scheme val="minor"/>
      </rPr>
      <t>design</t>
    </r>
    <r>
      <rPr>
        <sz val="11"/>
        <color theme="1"/>
        <rFont val="Calibri"/>
        <family val="2"/>
        <charset val="238"/>
        <scheme val="minor"/>
      </rPr>
      <t xml:space="preserve"> - 16)</t>
    </r>
  </si>
  <si>
    <r>
      <t>(T</t>
    </r>
    <r>
      <rPr>
        <vertAlign val="subscript"/>
        <sz val="11"/>
        <color theme="1"/>
        <rFont val="Calibri"/>
        <family val="2"/>
        <charset val="238"/>
        <scheme val="minor"/>
      </rPr>
      <t>bivalent</t>
    </r>
    <r>
      <rPr>
        <sz val="11"/>
        <color theme="1"/>
        <rFont val="Calibri"/>
        <family val="2"/>
        <charset val="238"/>
        <scheme val="minor"/>
      </rPr>
      <t xml:space="preserve"> - 16) / (T</t>
    </r>
    <r>
      <rPr>
        <vertAlign val="subscript"/>
        <sz val="11"/>
        <color theme="1"/>
        <rFont val="Calibri"/>
        <family val="2"/>
        <charset val="238"/>
        <scheme val="minor"/>
      </rPr>
      <t>design</t>
    </r>
    <r>
      <rPr>
        <sz val="11"/>
        <color theme="1"/>
        <rFont val="Calibri"/>
        <family val="2"/>
        <charset val="238"/>
        <scheme val="minor"/>
      </rPr>
      <t xml:space="preserve"> - 16)</t>
    </r>
  </si>
  <si>
    <t>[°C]</t>
  </si>
  <si>
    <t>Koeficient částečného zatížení - výpočet</t>
  </si>
  <si>
    <t>Koeficient - výsledek [-]</t>
  </si>
  <si>
    <t>dle volby</t>
  </si>
  <si>
    <t>Výparník - solanka</t>
  </si>
  <si>
    <t>Kondenzátor - voda</t>
  </si>
  <si>
    <r>
      <t>t</t>
    </r>
    <r>
      <rPr>
        <b/>
        <vertAlign val="subscript"/>
        <sz val="11"/>
        <color theme="1"/>
        <rFont val="Calibri"/>
        <family val="2"/>
        <charset val="238"/>
        <scheme val="minor"/>
      </rPr>
      <t>in</t>
    </r>
    <r>
      <rPr>
        <b/>
        <sz val="11"/>
        <color theme="1"/>
        <rFont val="Calibri"/>
        <family val="2"/>
        <charset val="238"/>
        <scheme val="minor"/>
      </rPr>
      <t xml:space="preserve"> [°C]</t>
    </r>
  </si>
  <si>
    <r>
      <t>t</t>
    </r>
    <r>
      <rPr>
        <b/>
        <vertAlign val="subscript"/>
        <sz val="11"/>
        <color theme="1"/>
        <rFont val="Calibri"/>
        <family val="2"/>
        <charset val="238"/>
        <scheme val="minor"/>
      </rPr>
      <t>out</t>
    </r>
    <r>
      <rPr>
        <b/>
        <sz val="11"/>
        <color theme="1"/>
        <rFont val="Calibri"/>
        <family val="2"/>
        <charset val="238"/>
        <scheme val="minor"/>
      </rPr>
      <t xml:space="preserve"> [°C]</t>
    </r>
  </si>
  <si>
    <t>Standardní podmínky</t>
  </si>
  <si>
    <t>Provozní podmínky</t>
  </si>
  <si>
    <t>Vnitřní výměník (voda)</t>
  </si>
  <si>
    <t>Venkovní výměník (solanka)</t>
  </si>
  <si>
    <t>nízkoteplotní</t>
  </si>
  <si>
    <t>*</t>
  </si>
  <si>
    <t>Třída sezonní energetické účinnosti vytápění</t>
  </si>
  <si>
    <t>A +++</t>
  </si>
  <si>
    <t>A ++</t>
  </si>
  <si>
    <t>A +</t>
  </si>
  <si>
    <t>G</t>
  </si>
  <si>
    <r>
      <t>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≥ 150</t>
    </r>
  </si>
  <si>
    <r>
      <t>125 ≤ 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&lt; 150</t>
    </r>
  </si>
  <si>
    <r>
      <t>98 ≤ 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&lt; 125</t>
    </r>
  </si>
  <si>
    <r>
      <t>90 ≤ 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&lt; 98</t>
    </r>
  </si>
  <si>
    <r>
      <t>82 ≤ 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&lt; 90</t>
    </r>
  </si>
  <si>
    <r>
      <t>75 ≤ 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&lt; 82</t>
    </r>
  </si>
  <si>
    <r>
      <t>36 ≤ 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&lt; 75</t>
    </r>
  </si>
  <si>
    <r>
      <t>34 ≤ 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&lt; 36</t>
    </r>
  </si>
  <si>
    <r>
      <t>30 ≤ 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&lt; 34</t>
    </r>
  </si>
  <si>
    <r>
      <t>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&lt; 30</t>
    </r>
  </si>
  <si>
    <r>
      <t>Sezonní energetická účinnost vytápění η</t>
    </r>
    <r>
      <rPr>
        <b/>
        <vertAlign val="subscript"/>
        <sz val="11"/>
        <color theme="1"/>
        <rFont val="Calibri"/>
        <family val="2"/>
        <charset val="238"/>
        <scheme val="minor"/>
      </rPr>
      <t>s</t>
    </r>
    <r>
      <rPr>
        <b/>
        <sz val="11"/>
        <color theme="1"/>
        <rFont val="Calibri"/>
        <family val="2"/>
        <charset val="238"/>
        <scheme val="minor"/>
      </rPr>
      <t xml:space="preserve"> [%]</t>
    </r>
  </si>
  <si>
    <r>
      <t>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≥ 175</t>
    </r>
  </si>
  <si>
    <r>
      <t>150 ≤ 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&lt; 175</t>
    </r>
  </si>
  <si>
    <r>
      <t>123 ≤ 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&lt; 150</t>
    </r>
  </si>
  <si>
    <r>
      <t>115 ≤ 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&lt; 123</t>
    </r>
  </si>
  <si>
    <r>
      <t>107 ≤ 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&lt; 115</t>
    </r>
  </si>
  <si>
    <r>
      <t>100 ≤ 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&lt; 107</t>
    </r>
  </si>
  <si>
    <r>
      <t>61 ≤ 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&lt; 100</t>
    </r>
  </si>
  <si>
    <r>
      <t>59 ≤ 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&lt; 61</t>
    </r>
  </si>
  <si>
    <r>
      <t>55 ≤ 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&lt; 59</t>
    </r>
  </si>
  <si>
    <r>
      <t>η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&lt; 55</t>
    </r>
  </si>
  <si>
    <t>vstupní teplota ochlazované látky</t>
  </si>
  <si>
    <t>průtok ochlazované látky</t>
  </si>
  <si>
    <t>typ čerpadla</t>
  </si>
  <si>
    <t>oběhové</t>
  </si>
  <si>
    <t>Průtok Q</t>
  </si>
  <si>
    <r>
      <t>l.s</t>
    </r>
    <r>
      <rPr>
        <vertAlign val="superscript"/>
        <sz val="11"/>
        <color theme="1"/>
        <rFont val="Calibri"/>
        <family val="2"/>
        <charset val="238"/>
        <scheme val="minor"/>
      </rPr>
      <t>-1</t>
    </r>
  </si>
  <si>
    <t>Příkon oběhových čerpadel</t>
  </si>
  <si>
    <t>voda</t>
  </si>
  <si>
    <t>ohřívaná látka</t>
  </si>
  <si>
    <t>vstupní teplota ohřívané látky</t>
  </si>
  <si>
    <t>průtok ohřívané látky</t>
  </si>
  <si>
    <t>kondenzátor - zadané požadavky</t>
  </si>
  <si>
    <t>výparník - QA80-NHPx80</t>
  </si>
  <si>
    <t>kondenzátor</t>
  </si>
  <si>
    <t>výsledek</t>
  </si>
  <si>
    <t>výsledek z oběhu</t>
  </si>
  <si>
    <t>sání</t>
  </si>
  <si>
    <t>výtlak ie</t>
  </si>
  <si>
    <t>výtlak real</t>
  </si>
  <si>
    <t>poč. kond</t>
  </si>
  <si>
    <t>konec kond.</t>
  </si>
  <si>
    <t>podchlaz.</t>
  </si>
  <si>
    <t>po škrcení</t>
  </si>
  <si>
    <t>konec vypař.</t>
  </si>
  <si>
    <t>So [m2]</t>
  </si>
  <si>
    <t>Sk [m2]</t>
  </si>
  <si>
    <t>to [°C]</t>
  </si>
  <si>
    <r>
      <t>m</t>
    </r>
    <r>
      <rPr>
        <vertAlign val="subscript"/>
        <sz val="11"/>
        <color theme="1"/>
        <rFont val="Calibri"/>
        <family val="2"/>
        <charset val="238"/>
        <scheme val="minor"/>
      </rPr>
      <t>ch</t>
    </r>
    <r>
      <rPr>
        <sz val="11"/>
        <color theme="1"/>
        <rFont val="Calibri"/>
        <family val="2"/>
        <charset val="238"/>
        <scheme val="minor"/>
      </rPr>
      <t xml:space="preserve"> [kg/s]</t>
    </r>
  </si>
  <si>
    <t>p [kPa]</t>
  </si>
  <si>
    <t>Uo [kW/m2K]</t>
  </si>
  <si>
    <t>Uk [kW/m2K]</t>
  </si>
  <si>
    <t>tk [°C]</t>
  </si>
  <si>
    <t>P [kW]</t>
  </si>
  <si>
    <t>t [°C]</t>
  </si>
  <si>
    <t>ms [kg/s]</t>
  </si>
  <si>
    <t>mw [kg/s]</t>
  </si>
  <si>
    <r>
      <t>Q</t>
    </r>
    <r>
      <rPr>
        <vertAlign val="subscript"/>
        <sz val="11"/>
        <color theme="1"/>
        <rFont val="Calibri"/>
        <family val="2"/>
        <charset val="238"/>
        <scheme val="minor"/>
      </rPr>
      <t>o</t>
    </r>
    <r>
      <rPr>
        <sz val="11"/>
        <color theme="1"/>
        <rFont val="Calibri"/>
        <family val="2"/>
        <charset val="238"/>
        <scheme val="minor"/>
      </rPr>
      <t xml:space="preserve"> [kW]</t>
    </r>
  </si>
  <si>
    <t>h [kJ/kg]</t>
  </si>
  <si>
    <t>cps [kJ/kgK]</t>
  </si>
  <si>
    <t>cpw [kJ/kgK]</t>
  </si>
  <si>
    <r>
      <t>Q</t>
    </r>
    <r>
      <rPr>
        <vertAlign val="subscript"/>
        <sz val="11"/>
        <color theme="1"/>
        <rFont val="Calibri"/>
        <family val="2"/>
        <charset val="238"/>
        <scheme val="minor"/>
      </rPr>
      <t>k</t>
    </r>
    <r>
      <rPr>
        <sz val="11"/>
        <color theme="1"/>
        <rFont val="Calibri"/>
        <family val="2"/>
        <charset val="238"/>
        <scheme val="minor"/>
      </rPr>
      <t xml:space="preserve"> [kW]</t>
    </r>
  </si>
  <si>
    <t>s [kJ/kgK]</t>
  </si>
  <si>
    <t>ts1 [°C]</t>
  </si>
  <si>
    <t>tw1 [°C]</t>
  </si>
  <si>
    <t>COP [-]</t>
  </si>
  <si>
    <t>přehřáti [°C]</t>
  </si>
  <si>
    <t>podchlazení [°C]</t>
  </si>
  <si>
    <t>ts2 [°C]</t>
  </si>
  <si>
    <t>tw2 [°C]</t>
  </si>
  <si>
    <t>tlaková ztráta [kPa]</t>
  </si>
  <si>
    <t>výpar. chl.</t>
  </si>
  <si>
    <t>výpar. sol.</t>
  </si>
  <si>
    <t>Vteor 1k [m3/h]</t>
  </si>
  <si>
    <t>kond. chl.</t>
  </si>
  <si>
    <t>λ d [-]</t>
  </si>
  <si>
    <t>kond. voda</t>
  </si>
  <si>
    <t>η ie [-]</t>
  </si>
  <si>
    <t>Vreál [m3/h]</t>
  </si>
  <si>
    <t>2 kompresory</t>
  </si>
  <si>
    <t>1 kompresor</t>
  </si>
  <si>
    <t>Výkon tepelného čerpadla</t>
  </si>
  <si>
    <t>CRu</t>
  </si>
  <si>
    <t>COPd</t>
  </si>
  <si>
    <t>Qo</t>
  </si>
  <si>
    <t>COP</t>
  </si>
  <si>
    <t>Příkon</t>
  </si>
  <si>
    <t>Celková spotřeba elektrické energie</t>
  </si>
  <si>
    <t>B2K</t>
  </si>
  <si>
    <t>B1K</t>
  </si>
  <si>
    <t>Výkon při Tbivalent</t>
  </si>
  <si>
    <t>Podmínky pro výpočet SCOP</t>
  </si>
  <si>
    <t>aplikace tepelného čerpadla</t>
  </si>
  <si>
    <t>výparník</t>
  </si>
  <si>
    <t>varianta</t>
  </si>
  <si>
    <r>
      <t>S</t>
    </r>
    <r>
      <rPr>
        <vertAlign val="subscript"/>
        <sz val="11"/>
        <color rgb="FF000000"/>
        <rFont val="Calibri"/>
        <family val="2"/>
        <charset val="238"/>
        <scheme val="minor"/>
      </rPr>
      <t>o</t>
    </r>
    <r>
      <rPr>
        <sz val="11"/>
        <color rgb="FF000000"/>
        <rFont val="Calibri"/>
        <family val="2"/>
        <charset val="238"/>
        <scheme val="minor"/>
      </rPr>
      <t xml:space="preserve"> [m</t>
    </r>
    <r>
      <rPr>
        <vertAlign val="superscript"/>
        <sz val="11"/>
        <color rgb="FF000000"/>
        <rFont val="Calibri"/>
        <family val="2"/>
        <charset val="238"/>
        <scheme val="minor"/>
      </rPr>
      <t>2</t>
    </r>
    <r>
      <rPr>
        <sz val="11"/>
        <color rgb="FF000000"/>
        <rFont val="Calibri"/>
        <family val="2"/>
        <charset val="238"/>
        <scheme val="minor"/>
      </rPr>
      <t>]</t>
    </r>
  </si>
  <si>
    <r>
      <t>c</t>
    </r>
    <r>
      <rPr>
        <vertAlign val="subscript"/>
        <sz val="11"/>
        <color rgb="FF000000"/>
        <rFont val="Calibri"/>
        <family val="2"/>
        <charset val="238"/>
        <scheme val="minor"/>
      </rPr>
      <t>ps</t>
    </r>
    <r>
      <rPr>
        <sz val="11"/>
        <color rgb="FF000000"/>
        <rFont val="Calibri"/>
        <family val="2"/>
        <charset val="238"/>
        <scheme val="minor"/>
      </rPr>
      <t xml:space="preserve"> [J</t>
    </r>
    <r>
      <rPr>
        <sz val="11"/>
        <color rgb="FF000000"/>
        <rFont val="Times New Roman"/>
        <family val="1"/>
        <charset val="238"/>
      </rPr>
      <t>∙</t>
    </r>
    <r>
      <rPr>
        <sz val="11"/>
        <color rgb="FF000000"/>
        <rFont val="Calibri"/>
        <family val="2"/>
        <charset val="238"/>
        <scheme val="minor"/>
      </rPr>
      <t>kg</t>
    </r>
    <r>
      <rPr>
        <vertAlign val="superscript"/>
        <sz val="11"/>
        <color rgb="FF000000"/>
        <rFont val="Calibri"/>
        <family val="2"/>
        <charset val="238"/>
        <scheme val="minor"/>
      </rPr>
      <t>-1</t>
    </r>
    <r>
      <rPr>
        <sz val="11"/>
        <color rgb="FF000000"/>
        <rFont val="Times New Roman"/>
        <family val="1"/>
        <charset val="238"/>
      </rPr>
      <t>∙</t>
    </r>
    <r>
      <rPr>
        <sz val="11"/>
        <color rgb="FF000000"/>
        <rFont val="Calibri"/>
        <family val="2"/>
        <charset val="238"/>
        <scheme val="minor"/>
      </rPr>
      <t>K</t>
    </r>
    <r>
      <rPr>
        <vertAlign val="superscript"/>
        <sz val="11"/>
        <color rgb="FF000000"/>
        <rFont val="Calibri"/>
        <family val="2"/>
        <charset val="238"/>
        <scheme val="minor"/>
      </rPr>
      <t>-1</t>
    </r>
    <r>
      <rPr>
        <sz val="11"/>
        <color rgb="FF000000"/>
        <rFont val="Calibri"/>
        <family val="2"/>
        <charset val="238"/>
        <scheme val="minor"/>
      </rPr>
      <t>]</t>
    </r>
  </si>
  <si>
    <r>
      <t>m</t>
    </r>
    <r>
      <rPr>
        <vertAlign val="subscript"/>
        <sz val="11"/>
        <color rgb="FF000000"/>
        <rFont val="Calibri"/>
        <family val="2"/>
        <charset val="238"/>
        <scheme val="minor"/>
      </rPr>
      <t>s</t>
    </r>
    <r>
      <rPr>
        <sz val="11"/>
        <color rgb="FF000000"/>
        <rFont val="Calibri"/>
        <family val="2"/>
        <charset val="238"/>
        <scheme val="minor"/>
      </rPr>
      <t xml:space="preserve"> [kg</t>
    </r>
    <r>
      <rPr>
        <sz val="11"/>
        <color rgb="FF000000"/>
        <rFont val="Times New Roman"/>
        <family val="1"/>
        <charset val="238"/>
      </rPr>
      <t>∙</t>
    </r>
    <r>
      <rPr>
        <sz val="11"/>
        <color rgb="FF000000"/>
        <rFont val="Calibri"/>
        <family val="2"/>
        <charset val="238"/>
        <scheme val="minor"/>
      </rPr>
      <t>s</t>
    </r>
    <r>
      <rPr>
        <vertAlign val="superscript"/>
        <sz val="11"/>
        <color rgb="FF000000"/>
        <rFont val="Calibri"/>
        <family val="2"/>
        <charset val="238"/>
        <scheme val="minor"/>
      </rPr>
      <t>-1</t>
    </r>
    <r>
      <rPr>
        <sz val="11"/>
        <color rgb="FF000000"/>
        <rFont val="Calibri"/>
        <family val="2"/>
        <charset val="238"/>
        <scheme val="minor"/>
      </rPr>
      <t>]</t>
    </r>
  </si>
  <si>
    <r>
      <t>t</t>
    </r>
    <r>
      <rPr>
        <vertAlign val="subscript"/>
        <sz val="11"/>
        <color rgb="FF000000"/>
        <rFont val="Calibri"/>
        <family val="2"/>
        <charset val="238"/>
        <scheme val="minor"/>
      </rPr>
      <t>s1</t>
    </r>
    <r>
      <rPr>
        <sz val="11"/>
        <color rgb="FF000000"/>
        <rFont val="Calibri"/>
        <family val="2"/>
        <charset val="238"/>
        <scheme val="minor"/>
      </rPr>
      <t xml:space="preserve"> [°C]</t>
    </r>
  </si>
  <si>
    <r>
      <t>U</t>
    </r>
    <r>
      <rPr>
        <vertAlign val="subscript"/>
        <sz val="11"/>
        <color rgb="FF000000"/>
        <rFont val="Calibri"/>
        <family val="2"/>
        <charset val="238"/>
        <scheme val="minor"/>
      </rPr>
      <t>o</t>
    </r>
    <r>
      <rPr>
        <sz val="11"/>
        <color rgb="FF000000"/>
        <rFont val="Calibri"/>
        <family val="2"/>
        <charset val="238"/>
        <scheme val="minor"/>
      </rPr>
      <t xml:space="preserve"> [W</t>
    </r>
    <r>
      <rPr>
        <sz val="11"/>
        <color rgb="FF000000"/>
        <rFont val="Times New Roman"/>
        <family val="1"/>
        <charset val="238"/>
      </rPr>
      <t>∙</t>
    </r>
    <r>
      <rPr>
        <sz val="11"/>
        <color rgb="FF000000"/>
        <rFont val="Calibri"/>
        <family val="2"/>
        <charset val="238"/>
        <scheme val="minor"/>
      </rPr>
      <t>m</t>
    </r>
    <r>
      <rPr>
        <vertAlign val="superscript"/>
        <sz val="11"/>
        <color rgb="FF000000"/>
        <rFont val="Calibri"/>
        <family val="2"/>
        <charset val="238"/>
        <scheme val="minor"/>
      </rPr>
      <t>-2</t>
    </r>
    <r>
      <rPr>
        <sz val="11"/>
        <color rgb="FF000000"/>
        <rFont val="Times New Roman"/>
        <family val="1"/>
        <charset val="238"/>
      </rPr>
      <t>∙</t>
    </r>
    <r>
      <rPr>
        <sz val="11"/>
        <color rgb="FF000000"/>
        <rFont val="Calibri"/>
        <family val="2"/>
        <charset val="238"/>
        <scheme val="minor"/>
      </rPr>
      <t>K</t>
    </r>
    <r>
      <rPr>
        <vertAlign val="superscript"/>
        <sz val="11"/>
        <color rgb="FF000000"/>
        <rFont val="Calibri"/>
        <family val="2"/>
        <charset val="238"/>
        <scheme val="minor"/>
      </rPr>
      <t>-1</t>
    </r>
    <r>
      <rPr>
        <sz val="11"/>
        <color rgb="FF000000"/>
        <rFont val="Calibri"/>
        <family val="2"/>
        <charset val="238"/>
        <scheme val="minor"/>
      </rPr>
      <t>]</t>
    </r>
  </si>
  <si>
    <r>
      <t>t</t>
    </r>
    <r>
      <rPr>
        <vertAlign val="subscript"/>
        <sz val="11"/>
        <color rgb="FF000000"/>
        <rFont val="Calibri"/>
        <family val="2"/>
        <charset val="238"/>
        <scheme val="minor"/>
      </rPr>
      <t>s2</t>
    </r>
    <r>
      <rPr>
        <sz val="11"/>
        <color rgb="FF000000"/>
        <rFont val="Calibri"/>
        <family val="2"/>
        <charset val="238"/>
        <scheme val="minor"/>
      </rPr>
      <t xml:space="preserve"> [°C]</t>
    </r>
  </si>
  <si>
    <r>
      <t>t</t>
    </r>
    <r>
      <rPr>
        <vertAlign val="subscript"/>
        <sz val="11"/>
        <color rgb="FF000000"/>
        <rFont val="Calibri"/>
        <family val="2"/>
        <charset val="238"/>
        <scheme val="minor"/>
      </rPr>
      <t>o</t>
    </r>
    <r>
      <rPr>
        <sz val="11"/>
        <color rgb="FF000000"/>
        <rFont val="Calibri"/>
        <family val="2"/>
        <charset val="238"/>
        <scheme val="minor"/>
      </rPr>
      <t xml:space="preserve"> [°C]</t>
    </r>
  </si>
  <si>
    <r>
      <t>Q</t>
    </r>
    <r>
      <rPr>
        <vertAlign val="subscript"/>
        <sz val="11"/>
        <color rgb="FF000000"/>
        <rFont val="Calibri"/>
        <family val="2"/>
        <charset val="238"/>
        <scheme val="minor"/>
      </rPr>
      <t>o</t>
    </r>
    <r>
      <rPr>
        <sz val="11"/>
        <color rgb="FF000000"/>
        <rFont val="Calibri"/>
        <family val="2"/>
        <charset val="238"/>
        <scheme val="minor"/>
      </rPr>
      <t xml:space="preserve"> [kW]</t>
    </r>
  </si>
  <si>
    <r>
      <t>Δp</t>
    </r>
    <r>
      <rPr>
        <vertAlign val="subscript"/>
        <sz val="11"/>
        <color rgb="FF000000"/>
        <rFont val="Calibri"/>
        <family val="2"/>
        <charset val="238"/>
        <scheme val="minor"/>
      </rPr>
      <t>zo,ch</t>
    </r>
    <r>
      <rPr>
        <sz val="11"/>
        <color rgb="FF000000"/>
        <rFont val="Calibri"/>
        <family val="2"/>
        <charset val="238"/>
        <scheme val="minor"/>
      </rPr>
      <t xml:space="preserve"> [kPa]</t>
    </r>
  </si>
  <si>
    <r>
      <t>Δp</t>
    </r>
    <r>
      <rPr>
        <vertAlign val="subscript"/>
        <sz val="11"/>
        <color rgb="FF000000"/>
        <rFont val="Calibri"/>
        <family val="2"/>
        <charset val="238"/>
        <scheme val="minor"/>
      </rPr>
      <t>zo,s</t>
    </r>
    <r>
      <rPr>
        <sz val="11"/>
        <color rgb="FF000000"/>
        <rFont val="Calibri"/>
        <family val="2"/>
        <charset val="238"/>
        <scheme val="minor"/>
      </rPr>
      <t xml:space="preserve"> [kPa]</t>
    </r>
  </si>
  <si>
    <r>
      <t>S</t>
    </r>
    <r>
      <rPr>
        <vertAlign val="subscript"/>
        <sz val="11"/>
        <color rgb="FF000000"/>
        <rFont val="Calibri"/>
        <family val="2"/>
        <charset val="238"/>
        <scheme val="minor"/>
      </rPr>
      <t>k</t>
    </r>
    <r>
      <rPr>
        <sz val="11"/>
        <color rgb="FF000000"/>
        <rFont val="Calibri"/>
        <family val="2"/>
        <charset val="238"/>
        <scheme val="minor"/>
      </rPr>
      <t xml:space="preserve"> [m</t>
    </r>
    <r>
      <rPr>
        <vertAlign val="superscript"/>
        <sz val="11"/>
        <color rgb="FF000000"/>
        <rFont val="Calibri"/>
        <family val="2"/>
        <charset val="238"/>
        <scheme val="minor"/>
      </rPr>
      <t>2</t>
    </r>
    <r>
      <rPr>
        <sz val="11"/>
        <color rgb="FF000000"/>
        <rFont val="Calibri"/>
        <family val="2"/>
        <charset val="238"/>
        <scheme val="minor"/>
      </rPr>
      <t>]</t>
    </r>
  </si>
  <si>
    <r>
      <t>c</t>
    </r>
    <r>
      <rPr>
        <vertAlign val="subscript"/>
        <sz val="11"/>
        <color rgb="FF000000"/>
        <rFont val="Calibri"/>
        <family val="2"/>
        <charset val="238"/>
        <scheme val="minor"/>
      </rPr>
      <t>pw</t>
    </r>
    <r>
      <rPr>
        <sz val="11"/>
        <color rgb="FF000000"/>
        <rFont val="Calibri"/>
        <family val="2"/>
        <charset val="238"/>
        <scheme val="minor"/>
      </rPr>
      <t xml:space="preserve"> [J</t>
    </r>
    <r>
      <rPr>
        <sz val="11"/>
        <color rgb="FF000000"/>
        <rFont val="Times New Roman"/>
        <family val="1"/>
        <charset val="238"/>
      </rPr>
      <t>∙</t>
    </r>
    <r>
      <rPr>
        <sz val="11"/>
        <color rgb="FF000000"/>
        <rFont val="Calibri"/>
        <family val="2"/>
        <charset val="238"/>
        <scheme val="minor"/>
      </rPr>
      <t>kg</t>
    </r>
    <r>
      <rPr>
        <vertAlign val="superscript"/>
        <sz val="11"/>
        <color rgb="FF000000"/>
        <rFont val="Calibri"/>
        <family val="2"/>
        <charset val="238"/>
        <scheme val="minor"/>
      </rPr>
      <t>-1</t>
    </r>
    <r>
      <rPr>
        <sz val="11"/>
        <color rgb="FF000000"/>
        <rFont val="Times New Roman"/>
        <family val="1"/>
        <charset val="238"/>
      </rPr>
      <t>∙</t>
    </r>
    <r>
      <rPr>
        <sz val="11"/>
        <color rgb="FF000000"/>
        <rFont val="Calibri"/>
        <family val="2"/>
        <charset val="238"/>
        <scheme val="minor"/>
      </rPr>
      <t>K</t>
    </r>
    <r>
      <rPr>
        <vertAlign val="superscript"/>
        <sz val="11"/>
        <color rgb="FF000000"/>
        <rFont val="Calibri"/>
        <family val="2"/>
        <charset val="238"/>
        <scheme val="minor"/>
      </rPr>
      <t>-1</t>
    </r>
    <r>
      <rPr>
        <sz val="11"/>
        <color rgb="FF000000"/>
        <rFont val="Calibri"/>
        <family val="2"/>
        <charset val="238"/>
        <scheme val="minor"/>
      </rPr>
      <t>]</t>
    </r>
  </si>
  <si>
    <r>
      <t>m</t>
    </r>
    <r>
      <rPr>
        <vertAlign val="subscript"/>
        <sz val="11"/>
        <color rgb="FF000000"/>
        <rFont val="Calibri"/>
        <family val="2"/>
        <charset val="238"/>
        <scheme val="minor"/>
      </rPr>
      <t>w</t>
    </r>
    <r>
      <rPr>
        <sz val="11"/>
        <color rgb="FF000000"/>
        <rFont val="Calibri"/>
        <family val="2"/>
        <charset val="238"/>
        <scheme val="minor"/>
      </rPr>
      <t xml:space="preserve"> [kg</t>
    </r>
    <r>
      <rPr>
        <sz val="11"/>
        <color rgb="FF000000"/>
        <rFont val="Times New Roman"/>
        <family val="1"/>
        <charset val="238"/>
      </rPr>
      <t>∙</t>
    </r>
    <r>
      <rPr>
        <sz val="11"/>
        <color rgb="FF000000"/>
        <rFont val="Calibri"/>
        <family val="2"/>
        <charset val="238"/>
        <scheme val="minor"/>
      </rPr>
      <t>s</t>
    </r>
    <r>
      <rPr>
        <vertAlign val="superscript"/>
        <sz val="11"/>
        <color rgb="FF000000"/>
        <rFont val="Calibri"/>
        <family val="2"/>
        <charset val="238"/>
        <scheme val="minor"/>
      </rPr>
      <t>-1</t>
    </r>
    <r>
      <rPr>
        <sz val="11"/>
        <color rgb="FF000000"/>
        <rFont val="Calibri"/>
        <family val="2"/>
        <charset val="238"/>
        <scheme val="minor"/>
      </rPr>
      <t>]</t>
    </r>
  </si>
  <si>
    <r>
      <t>t</t>
    </r>
    <r>
      <rPr>
        <vertAlign val="subscript"/>
        <sz val="11"/>
        <color rgb="FF000000"/>
        <rFont val="Calibri"/>
        <family val="2"/>
        <charset val="238"/>
        <scheme val="minor"/>
      </rPr>
      <t>w1</t>
    </r>
    <r>
      <rPr>
        <sz val="11"/>
        <color rgb="FF000000"/>
        <rFont val="Calibri"/>
        <family val="2"/>
        <charset val="238"/>
        <scheme val="minor"/>
      </rPr>
      <t xml:space="preserve"> [°C]</t>
    </r>
  </si>
  <si>
    <r>
      <t>t</t>
    </r>
    <r>
      <rPr>
        <vertAlign val="subscript"/>
        <sz val="11"/>
        <color rgb="FF000000"/>
        <rFont val="Calibri"/>
        <family val="2"/>
        <charset val="238"/>
        <scheme val="minor"/>
      </rPr>
      <t>w2</t>
    </r>
    <r>
      <rPr>
        <sz val="11"/>
        <color rgb="FF000000"/>
        <rFont val="Calibri"/>
        <family val="2"/>
        <charset val="238"/>
        <scheme val="minor"/>
      </rPr>
      <t xml:space="preserve"> [°C]</t>
    </r>
  </si>
  <si>
    <r>
      <t>t</t>
    </r>
    <r>
      <rPr>
        <vertAlign val="subscript"/>
        <sz val="11"/>
        <color rgb="FF000000"/>
        <rFont val="Calibri"/>
        <family val="2"/>
        <charset val="238"/>
        <scheme val="minor"/>
      </rPr>
      <t>k</t>
    </r>
    <r>
      <rPr>
        <sz val="11"/>
        <color rgb="FF000000"/>
        <rFont val="Calibri"/>
        <family val="2"/>
        <charset val="238"/>
        <scheme val="minor"/>
      </rPr>
      <t xml:space="preserve"> [°C]</t>
    </r>
  </si>
  <si>
    <r>
      <t>Q</t>
    </r>
    <r>
      <rPr>
        <vertAlign val="subscript"/>
        <sz val="11"/>
        <color rgb="FF000000"/>
        <rFont val="Calibri"/>
        <family val="2"/>
        <charset val="238"/>
        <scheme val="minor"/>
      </rPr>
      <t>k</t>
    </r>
    <r>
      <rPr>
        <sz val="11"/>
        <color rgb="FF000000"/>
        <rFont val="Calibri"/>
        <family val="2"/>
        <charset val="238"/>
        <scheme val="minor"/>
      </rPr>
      <t xml:space="preserve"> [kW]</t>
    </r>
  </si>
  <si>
    <r>
      <t>Δp</t>
    </r>
    <r>
      <rPr>
        <vertAlign val="subscript"/>
        <sz val="11"/>
        <color rgb="FF000000"/>
        <rFont val="Calibri"/>
        <family val="2"/>
        <charset val="238"/>
        <scheme val="minor"/>
      </rPr>
      <t>zk,ch</t>
    </r>
    <r>
      <rPr>
        <sz val="11"/>
        <color rgb="FF000000"/>
        <rFont val="Calibri"/>
        <family val="2"/>
        <charset val="238"/>
        <scheme val="minor"/>
      </rPr>
      <t xml:space="preserve"> [kPa]</t>
    </r>
  </si>
  <si>
    <r>
      <t>Δp</t>
    </r>
    <r>
      <rPr>
        <vertAlign val="subscript"/>
        <sz val="11"/>
        <color rgb="FF000000"/>
        <rFont val="Calibri"/>
        <family val="2"/>
        <charset val="238"/>
        <scheme val="minor"/>
      </rPr>
      <t>zk,s</t>
    </r>
    <r>
      <rPr>
        <sz val="11"/>
        <color rgb="FF000000"/>
        <rFont val="Calibri"/>
        <family val="2"/>
        <charset val="238"/>
        <scheme val="minor"/>
      </rPr>
      <t xml:space="preserve"> [kPa]</t>
    </r>
  </si>
  <si>
    <r>
      <t>V</t>
    </r>
    <r>
      <rPr>
        <vertAlign val="subscript"/>
        <sz val="11"/>
        <color rgb="FF000000"/>
        <rFont val="Calibri"/>
        <family val="2"/>
        <charset val="238"/>
        <scheme val="minor"/>
      </rPr>
      <t>teor</t>
    </r>
    <r>
      <rPr>
        <sz val="11"/>
        <color rgb="FF000000"/>
        <rFont val="Calibri"/>
        <family val="2"/>
        <charset val="238"/>
        <scheme val="minor"/>
      </rPr>
      <t xml:space="preserve"> [m</t>
    </r>
    <r>
      <rPr>
        <vertAlign val="superscript"/>
        <sz val="11"/>
        <color rgb="FF000000"/>
        <rFont val="Calibri"/>
        <family val="2"/>
        <charset val="238"/>
        <scheme val="minor"/>
      </rPr>
      <t>3</t>
    </r>
    <r>
      <rPr>
        <sz val="11"/>
        <color rgb="FF000000"/>
        <rFont val="Times New Roman"/>
        <family val="1"/>
        <charset val="238"/>
      </rPr>
      <t>∙</t>
    </r>
    <r>
      <rPr>
        <sz val="11"/>
        <color rgb="FF000000"/>
        <rFont val="Calibri"/>
        <family val="2"/>
        <charset val="238"/>
        <scheme val="minor"/>
      </rPr>
      <t>h</t>
    </r>
    <r>
      <rPr>
        <vertAlign val="superscript"/>
        <sz val="11"/>
        <color rgb="FF000000"/>
        <rFont val="Calibri"/>
        <family val="2"/>
        <charset val="238"/>
        <scheme val="minor"/>
      </rPr>
      <t>-1</t>
    </r>
    <r>
      <rPr>
        <sz val="11"/>
        <color rgb="FF000000"/>
        <rFont val="Calibri"/>
        <family val="2"/>
        <charset val="238"/>
        <scheme val="minor"/>
      </rPr>
      <t>]</t>
    </r>
  </si>
  <si>
    <r>
      <t>V</t>
    </r>
    <r>
      <rPr>
        <vertAlign val="subscript"/>
        <sz val="11"/>
        <color rgb="FF000000"/>
        <rFont val="Calibri"/>
        <family val="2"/>
        <charset val="238"/>
        <scheme val="minor"/>
      </rPr>
      <t>real</t>
    </r>
    <r>
      <rPr>
        <sz val="11"/>
        <color rgb="FF000000"/>
        <rFont val="Calibri"/>
        <family val="2"/>
        <charset val="238"/>
        <scheme val="minor"/>
      </rPr>
      <t xml:space="preserve"> [m</t>
    </r>
    <r>
      <rPr>
        <vertAlign val="superscript"/>
        <sz val="11"/>
        <color rgb="FF000000"/>
        <rFont val="Calibri"/>
        <family val="2"/>
        <charset val="238"/>
        <scheme val="minor"/>
      </rPr>
      <t>3</t>
    </r>
    <r>
      <rPr>
        <sz val="11"/>
        <color rgb="FF000000"/>
        <rFont val="Times New Roman"/>
        <family val="1"/>
        <charset val="238"/>
      </rPr>
      <t>∙</t>
    </r>
    <r>
      <rPr>
        <sz val="11"/>
        <color rgb="FF000000"/>
        <rFont val="Calibri"/>
        <family val="2"/>
        <charset val="238"/>
        <scheme val="minor"/>
      </rPr>
      <t>h</t>
    </r>
    <r>
      <rPr>
        <vertAlign val="superscript"/>
        <sz val="11"/>
        <color rgb="FF000000"/>
        <rFont val="Calibri"/>
        <family val="2"/>
        <charset val="238"/>
        <scheme val="minor"/>
      </rPr>
      <t>-1</t>
    </r>
    <r>
      <rPr>
        <sz val="11"/>
        <color rgb="FF000000"/>
        <rFont val="Calibri"/>
        <family val="2"/>
        <charset val="238"/>
        <scheme val="minor"/>
      </rPr>
      <t>]</t>
    </r>
  </si>
  <si>
    <r>
      <rPr>
        <sz val="11"/>
        <color rgb="FF000000"/>
        <rFont val="Calibri"/>
        <family val="2"/>
        <charset val="238"/>
      </rPr>
      <t>λ</t>
    </r>
    <r>
      <rPr>
        <vertAlign val="subscript"/>
        <sz val="11"/>
        <color rgb="FF000000"/>
        <rFont val="Calibri"/>
        <family val="2"/>
        <charset val="238"/>
        <scheme val="minor"/>
      </rPr>
      <t>d</t>
    </r>
    <r>
      <rPr>
        <sz val="11"/>
        <color rgb="FF000000"/>
        <rFont val="Calibri"/>
        <family val="2"/>
        <charset val="238"/>
        <scheme val="minor"/>
      </rPr>
      <t xml:space="preserve"> [-]</t>
    </r>
  </si>
  <si>
    <r>
      <rPr>
        <sz val="11"/>
        <color rgb="FF000000"/>
        <rFont val="Calibri"/>
        <family val="2"/>
        <charset val="238"/>
      </rPr>
      <t>η</t>
    </r>
    <r>
      <rPr>
        <vertAlign val="subscript"/>
        <sz val="11"/>
        <color rgb="FF000000"/>
        <rFont val="Calibri"/>
        <family val="2"/>
        <charset val="238"/>
        <scheme val="minor"/>
      </rPr>
      <t>ie</t>
    </r>
    <r>
      <rPr>
        <sz val="11"/>
        <color rgb="FF000000"/>
        <rFont val="Calibri"/>
        <family val="2"/>
        <charset val="238"/>
        <scheme val="minor"/>
      </rPr>
      <t xml:space="preserve"> [-]</t>
    </r>
  </si>
  <si>
    <t>var1</t>
  </si>
  <si>
    <t>var2</t>
  </si>
  <si>
    <t>var3</t>
  </si>
  <si>
    <t>var4</t>
  </si>
  <si>
    <t>var 5</t>
  </si>
  <si>
    <t>var 6</t>
  </si>
  <si>
    <t>var7</t>
  </si>
  <si>
    <t>var8</t>
  </si>
  <si>
    <t>var9</t>
  </si>
  <si>
    <t>var 10</t>
  </si>
  <si>
    <r>
      <t>m</t>
    </r>
    <r>
      <rPr>
        <vertAlign val="subscript"/>
        <sz val="11"/>
        <color rgb="FF000000"/>
        <rFont val="Calibri"/>
        <family val="2"/>
        <charset val="238"/>
        <scheme val="minor"/>
      </rPr>
      <t>ch</t>
    </r>
    <r>
      <rPr>
        <sz val="11"/>
        <color rgb="FF000000"/>
        <rFont val="Calibri"/>
        <family val="2"/>
        <charset val="238"/>
        <scheme val="minor"/>
      </rPr>
      <t xml:space="preserve"> [kg</t>
    </r>
    <r>
      <rPr>
        <sz val="11"/>
        <color rgb="FF000000"/>
        <rFont val="Times New Roman"/>
        <family val="1"/>
        <charset val="238"/>
      </rPr>
      <t>∙</t>
    </r>
    <r>
      <rPr>
        <sz val="11"/>
        <color rgb="FF000000"/>
        <rFont val="Calibri"/>
        <family val="2"/>
        <charset val="238"/>
        <scheme val="minor"/>
      </rPr>
      <t>s</t>
    </r>
    <r>
      <rPr>
        <vertAlign val="superscript"/>
        <sz val="11"/>
        <color rgb="FF000000"/>
        <rFont val="Calibri"/>
        <family val="2"/>
        <charset val="238"/>
        <scheme val="minor"/>
      </rPr>
      <t>-1</t>
    </r>
    <r>
      <rPr>
        <sz val="11"/>
        <color rgb="FF000000"/>
        <rFont val="Calibri"/>
        <family val="2"/>
        <charset val="238"/>
        <scheme val="minor"/>
      </rPr>
      <t>]</t>
    </r>
  </si>
  <si>
    <t>F = E</t>
  </si>
  <si>
    <t>Výparník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</si>
</sst>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"/>
    <numFmt numFmtId="165" formatCode="0.000"/>
    <numFmt numFmtId="166" formatCode="0.0"/>
  </numFmts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vertAlign val="superscript"/>
      <sz val="11"/>
      <color theme="1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  <scheme val="minor"/>
    </font>
    <font>
      <b/>
      <vertAlign val="subscript"/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vertAlign val="subscript"/>
      <sz val="11"/>
      <color rgb="FF000000"/>
      <name val="Calibri"/>
      <family val="2"/>
      <charset val="238"/>
      <scheme val="minor"/>
    </font>
    <font>
      <vertAlign val="superscript"/>
      <sz val="11"/>
      <color rgb="FF000000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sz val="11"/>
      <color theme="4" tint="-0.249977111117893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8">
    <xf numFmtId="0" fontId="0" fillId="0" borderId="0" xfId="0"/>
    <xf numFmtId="2" fontId="0" fillId="0" borderId="1" xfId="0" applyNumberFormat="1" applyBorder="1"/>
    <xf numFmtId="0" fontId="0" fillId="0" borderId="1" xfId="0" applyBorder="1"/>
    <xf numFmtId="2" fontId="0" fillId="2" borderId="1" xfId="0" applyNumberFormat="1" applyFill="1" applyBorder="1"/>
    <xf numFmtId="0" fontId="0" fillId="2" borderId="1" xfId="0" applyFill="1" applyBorder="1"/>
    <xf numFmtId="2" fontId="0" fillId="0" borderId="2" xfId="0" applyNumberFormat="1" applyBorder="1"/>
    <xf numFmtId="0" fontId="0" fillId="0" borderId="2" xfId="0" applyBorder="1"/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1" xfId="0" applyBorder="1" applyAlignment="1"/>
    <xf numFmtId="0" fontId="0" fillId="0" borderId="2" xfId="0" applyBorder="1" applyAlignment="1">
      <alignment horizontal="right"/>
    </xf>
    <xf numFmtId="0" fontId="0" fillId="0" borderId="1" xfId="0" applyFill="1" applyBorder="1"/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0" borderId="9" xfId="0" applyBorder="1"/>
    <xf numFmtId="0" fontId="0" fillId="0" borderId="2" xfId="0" quotePrefix="1" applyBorder="1"/>
    <xf numFmtId="0" fontId="1" fillId="0" borderId="2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" fillId="0" borderId="8" xfId="0" applyFont="1" applyBorder="1" applyAlignment="1">
      <alignment horizont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6" xfId="0" applyFont="1" applyBorder="1"/>
    <xf numFmtId="0" fontId="0" fillId="0" borderId="1" xfId="0" applyFont="1" applyBorder="1"/>
    <xf numFmtId="0" fontId="1" fillId="0" borderId="3" xfId="0" applyFont="1" applyBorder="1"/>
    <xf numFmtId="164" fontId="0" fillId="0" borderId="1" xfId="0" applyNumberFormat="1" applyBorder="1"/>
    <xf numFmtId="0" fontId="1" fillId="0" borderId="3" xfId="0" applyFont="1" applyBorder="1" applyAlignment="1">
      <alignment wrapText="1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3" borderId="0" xfId="0" applyFill="1"/>
    <xf numFmtId="0" fontId="0" fillId="0" borderId="22" xfId="0" applyFill="1" applyBorder="1"/>
    <xf numFmtId="0" fontId="0" fillId="0" borderId="22" xfId="0" applyBorder="1"/>
    <xf numFmtId="0" fontId="0" fillId="4" borderId="21" xfId="0" applyFill="1" applyBorder="1"/>
    <xf numFmtId="0" fontId="0" fillId="4" borderId="21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0" borderId="10" xfId="0" applyFill="1" applyBorder="1"/>
    <xf numFmtId="0" fontId="0" fillId="0" borderId="2" xfId="0" applyFill="1" applyBorder="1"/>
    <xf numFmtId="0" fontId="0" fillId="0" borderId="0" xfId="0" applyBorder="1"/>
    <xf numFmtId="0" fontId="0" fillId="4" borderId="2" xfId="0" applyFill="1" applyBorder="1"/>
    <xf numFmtId="165" fontId="0" fillId="4" borderId="11" xfId="0" applyNumberFormat="1" applyFill="1" applyBorder="1"/>
    <xf numFmtId="0" fontId="0" fillId="4" borderId="10" xfId="0" applyFill="1" applyBorder="1"/>
    <xf numFmtId="164" fontId="0" fillId="4" borderId="2" xfId="0" applyNumberFormat="1" applyFill="1" applyBorder="1"/>
    <xf numFmtId="2" fontId="0" fillId="4" borderId="2" xfId="0" applyNumberFormat="1" applyFill="1" applyBorder="1"/>
    <xf numFmtId="2" fontId="0" fillId="4" borderId="11" xfId="0" applyNumberFormat="1" applyFill="1" applyBorder="1"/>
    <xf numFmtId="0" fontId="0" fillId="0" borderId="12" xfId="0" applyFill="1" applyBorder="1"/>
    <xf numFmtId="165" fontId="0" fillId="0" borderId="1" xfId="0" applyNumberFormat="1" applyFill="1" applyBorder="1"/>
    <xf numFmtId="0" fontId="0" fillId="4" borderId="1" xfId="0" applyFill="1" applyBorder="1"/>
    <xf numFmtId="165" fontId="0" fillId="4" borderId="13" xfId="0" applyNumberFormat="1" applyFill="1" applyBorder="1"/>
    <xf numFmtId="0" fontId="0" fillId="4" borderId="12" xfId="0" applyFill="1" applyBorder="1"/>
    <xf numFmtId="165" fontId="0" fillId="4" borderId="1" xfId="0" applyNumberFormat="1" applyFill="1" applyBorder="1"/>
    <xf numFmtId="2" fontId="0" fillId="4" borderId="1" xfId="0" applyNumberFormat="1" applyFill="1" applyBorder="1"/>
    <xf numFmtId="2" fontId="0" fillId="4" borderId="13" xfId="0" applyNumberFormat="1" applyFill="1" applyBorder="1"/>
    <xf numFmtId="0" fontId="0" fillId="5" borderId="12" xfId="0" applyFill="1" applyBorder="1"/>
    <xf numFmtId="0" fontId="0" fillId="5" borderId="1" xfId="0" applyFill="1" applyBorder="1"/>
    <xf numFmtId="0" fontId="0" fillId="0" borderId="0" xfId="0" applyFill="1" applyBorder="1"/>
    <xf numFmtId="0" fontId="0" fillId="4" borderId="14" xfId="0" applyFill="1" applyBorder="1"/>
    <xf numFmtId="165" fontId="0" fillId="4" borderId="15" xfId="0" applyNumberFormat="1" applyFill="1" applyBorder="1"/>
    <xf numFmtId="0" fontId="0" fillId="0" borderId="26" xfId="0" applyBorder="1"/>
    <xf numFmtId="0" fontId="0" fillId="4" borderId="15" xfId="0" applyFill="1" applyBorder="1"/>
    <xf numFmtId="165" fontId="0" fillId="0" borderId="26" xfId="0" applyNumberFormat="1" applyBorder="1"/>
    <xf numFmtId="165" fontId="0" fillId="0" borderId="27" xfId="0" applyNumberFormat="1" applyBorder="1"/>
    <xf numFmtId="165" fontId="0" fillId="0" borderId="28" xfId="0" applyNumberFormat="1" applyBorder="1"/>
    <xf numFmtId="0" fontId="0" fillId="4" borderId="29" xfId="0" applyFill="1" applyBorder="1"/>
    <xf numFmtId="165" fontId="0" fillId="4" borderId="30" xfId="0" applyNumberFormat="1" applyFill="1" applyBorder="1"/>
    <xf numFmtId="0" fontId="0" fillId="0" borderId="28" xfId="0" applyBorder="1"/>
    <xf numFmtId="2" fontId="0" fillId="0" borderId="1" xfId="0" applyNumberFormat="1" applyFill="1" applyBorder="1"/>
    <xf numFmtId="0" fontId="0" fillId="4" borderId="13" xfId="0" applyFill="1" applyBorder="1"/>
    <xf numFmtId="0" fontId="6" fillId="4" borderId="12" xfId="0" applyFont="1" applyFill="1" applyBorder="1"/>
    <xf numFmtId="0" fontId="6" fillId="0" borderId="0" xfId="0" applyFont="1" applyFill="1" applyBorder="1"/>
    <xf numFmtId="0" fontId="0" fillId="4" borderId="16" xfId="0" applyFill="1" applyBorder="1"/>
    <xf numFmtId="0" fontId="0" fillId="4" borderId="14" xfId="0" applyFont="1" applyFill="1" applyBorder="1"/>
    <xf numFmtId="0" fontId="0" fillId="0" borderId="26" xfId="0" applyFill="1" applyBorder="1"/>
    <xf numFmtId="0" fontId="0" fillId="0" borderId="27" xfId="0" applyBorder="1"/>
    <xf numFmtId="166" fontId="0" fillId="0" borderId="1" xfId="0" applyNumberFormat="1" applyFill="1" applyBorder="1"/>
    <xf numFmtId="0" fontId="0" fillId="0" borderId="19" xfId="0" applyFill="1" applyBorder="1"/>
    <xf numFmtId="0" fontId="0" fillId="0" borderId="34" xfId="0" applyFill="1" applyBorder="1"/>
    <xf numFmtId="165" fontId="0" fillId="0" borderId="0" xfId="0" applyNumberFormat="1"/>
    <xf numFmtId="2" fontId="0" fillId="0" borderId="0" xfId="0" applyNumberFormat="1"/>
    <xf numFmtId="0" fontId="0" fillId="0" borderId="0" xfId="0" applyFill="1"/>
    <xf numFmtId="0" fontId="1" fillId="0" borderId="19" xfId="0" applyFont="1" applyFill="1" applyBorder="1"/>
    <xf numFmtId="0" fontId="0" fillId="3" borderId="1" xfId="0" applyFill="1" applyBorder="1"/>
    <xf numFmtId="2" fontId="0" fillId="3" borderId="1" xfId="0" applyNumberFormat="1" applyFill="1" applyBorder="1"/>
    <xf numFmtId="165" fontId="0" fillId="3" borderId="1" xfId="0" applyNumberFormat="1" applyFill="1" applyBorder="1"/>
    <xf numFmtId="2" fontId="1" fillId="0" borderId="1" xfId="0" applyNumberFormat="1" applyFont="1" applyBorder="1"/>
    <xf numFmtId="0" fontId="0" fillId="3" borderId="2" xfId="0" applyFill="1" applyBorder="1"/>
    <xf numFmtId="2" fontId="0" fillId="3" borderId="2" xfId="0" applyNumberFormat="1" applyFill="1" applyBorder="1"/>
    <xf numFmtId="165" fontId="0" fillId="3" borderId="2" xfId="0" applyNumberFormat="1" applyFill="1" applyBorder="1"/>
    <xf numFmtId="0" fontId="0" fillId="0" borderId="3" xfId="0" applyBorder="1"/>
    <xf numFmtId="0" fontId="7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right" vertical="center"/>
    </xf>
    <xf numFmtId="0" fontId="8" fillId="6" borderId="1" xfId="0" applyFont="1" applyFill="1" applyBorder="1" applyAlignment="1">
      <alignment horizontal="right" vertical="center"/>
    </xf>
    <xf numFmtId="0" fontId="0" fillId="0" borderId="0" xfId="0" applyFill="1" applyAlignment="1"/>
    <xf numFmtId="0" fontId="8" fillId="2" borderId="6" xfId="0" applyFont="1" applyFill="1" applyBorder="1" applyAlignment="1">
      <alignment horizontal="left" vertical="center"/>
    </xf>
    <xf numFmtId="0" fontId="12" fillId="6" borderId="13" xfId="0" applyFont="1" applyFill="1" applyBorder="1" applyAlignment="1">
      <alignment horizontal="right" vertical="center"/>
    </xf>
    <xf numFmtId="0" fontId="8" fillId="6" borderId="13" xfId="0" applyFont="1" applyFill="1" applyBorder="1" applyAlignment="1">
      <alignment horizontal="right" vertical="center"/>
    </xf>
    <xf numFmtId="0" fontId="8" fillId="6" borderId="15" xfId="0" applyFont="1" applyFill="1" applyBorder="1" applyAlignment="1">
      <alignment horizontal="right" vertical="center"/>
    </xf>
    <xf numFmtId="0" fontId="8" fillId="6" borderId="16" xfId="0" applyFont="1" applyFill="1" applyBorder="1" applyAlignment="1">
      <alignment horizontal="right" vertical="center"/>
    </xf>
    <xf numFmtId="0" fontId="12" fillId="3" borderId="12" xfId="0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right" vertical="center"/>
    </xf>
    <xf numFmtId="0" fontId="8" fillId="3" borderId="12" xfId="0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0" fillId="3" borderId="12" xfId="0" applyFill="1" applyBorder="1" applyAlignment="1"/>
    <xf numFmtId="0" fontId="0" fillId="3" borderId="1" xfId="0" applyFill="1" applyBorder="1" applyAlignment="1"/>
    <xf numFmtId="0" fontId="0" fillId="3" borderId="14" xfId="0" applyFill="1" applyBorder="1" applyAlignment="1"/>
    <xf numFmtId="0" fontId="0" fillId="3" borderId="15" xfId="0" applyFill="1" applyBorder="1" applyAlignment="1"/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right" vertical="center"/>
    </xf>
    <xf numFmtId="0" fontId="8" fillId="3" borderId="15" xfId="0" applyFont="1" applyFill="1" applyBorder="1" applyAlignment="1">
      <alignment horizontal="right" vertical="center"/>
    </xf>
    <xf numFmtId="0" fontId="0" fillId="6" borderId="1" xfId="0" applyFill="1" applyBorder="1" applyAlignment="1"/>
    <xf numFmtId="0" fontId="0" fillId="6" borderId="13" xfId="0" applyFill="1" applyBorder="1" applyAlignment="1"/>
    <xf numFmtId="0" fontId="0" fillId="6" borderId="15" xfId="0" applyFill="1" applyBorder="1" applyAlignment="1"/>
    <xf numFmtId="0" fontId="0" fillId="6" borderId="16" xfId="0" applyFill="1" applyBorder="1" applyAlignment="1"/>
    <xf numFmtId="0" fontId="8" fillId="0" borderId="42" xfId="0" applyFont="1" applyFill="1" applyBorder="1" applyAlignment="1">
      <alignment horizontal="left" vertical="center"/>
    </xf>
    <xf numFmtId="0" fontId="0" fillId="3" borderId="13" xfId="0" applyFill="1" applyBorder="1" applyAlignment="1"/>
    <xf numFmtId="166" fontId="0" fillId="3" borderId="1" xfId="0" applyNumberFormat="1" applyFill="1" applyBorder="1" applyAlignment="1"/>
    <xf numFmtId="166" fontId="0" fillId="3" borderId="13" xfId="0" applyNumberFormat="1" applyFill="1" applyBorder="1" applyAlignment="1"/>
    <xf numFmtId="166" fontId="0" fillId="6" borderId="12" xfId="0" applyNumberFormat="1" applyFill="1" applyBorder="1" applyAlignment="1"/>
    <xf numFmtId="166" fontId="0" fillId="6" borderId="1" xfId="0" applyNumberFormat="1" applyFill="1" applyBorder="1" applyAlignment="1"/>
    <xf numFmtId="166" fontId="0" fillId="6" borderId="13" xfId="0" applyNumberFormat="1" applyFill="1" applyBorder="1" applyAlignment="1"/>
    <xf numFmtId="2" fontId="0" fillId="3" borderId="15" xfId="0" applyNumberFormat="1" applyFill="1" applyBorder="1" applyAlignment="1"/>
    <xf numFmtId="2" fontId="0" fillId="3" borderId="16" xfId="0" applyNumberFormat="1" applyFill="1" applyBorder="1" applyAlignment="1"/>
    <xf numFmtId="2" fontId="0" fillId="6" borderId="14" xfId="0" applyNumberFormat="1" applyFill="1" applyBorder="1" applyAlignment="1"/>
    <xf numFmtId="2" fontId="0" fillId="6" borderId="15" xfId="0" applyNumberFormat="1" applyFill="1" applyBorder="1" applyAlignment="1"/>
    <xf numFmtId="2" fontId="0" fillId="6" borderId="16" xfId="0" applyNumberFormat="1" applyFill="1" applyBorder="1" applyAlignment="1"/>
    <xf numFmtId="165" fontId="0" fillId="3" borderId="12" xfId="0" applyNumberFormat="1" applyFill="1" applyBorder="1" applyAlignment="1"/>
    <xf numFmtId="165" fontId="0" fillId="3" borderId="1" xfId="0" applyNumberFormat="1" applyFill="1" applyBorder="1" applyAlignment="1"/>
    <xf numFmtId="165" fontId="0" fillId="3" borderId="13" xfId="0" applyNumberFormat="1" applyFill="1" applyBorder="1" applyAlignment="1"/>
    <xf numFmtId="165" fontId="0" fillId="6" borderId="12" xfId="0" applyNumberFormat="1" applyFill="1" applyBorder="1" applyAlignment="1"/>
    <xf numFmtId="165" fontId="0" fillId="6" borderId="1" xfId="0" applyNumberFormat="1" applyFill="1" applyBorder="1" applyAlignment="1"/>
    <xf numFmtId="165" fontId="0" fillId="6" borderId="13" xfId="0" applyNumberFormat="1" applyFill="1" applyBorder="1" applyAlignment="1"/>
    <xf numFmtId="165" fontId="0" fillId="3" borderId="14" xfId="0" applyNumberFormat="1" applyFill="1" applyBorder="1" applyAlignment="1"/>
    <xf numFmtId="165" fontId="0" fillId="3" borderId="15" xfId="0" applyNumberFormat="1" applyFill="1" applyBorder="1" applyAlignment="1"/>
    <xf numFmtId="165" fontId="0" fillId="3" borderId="16" xfId="0" applyNumberFormat="1" applyFill="1" applyBorder="1" applyAlignment="1"/>
    <xf numFmtId="165" fontId="0" fillId="6" borderId="15" xfId="0" applyNumberFormat="1" applyFill="1" applyBorder="1" applyAlignment="1"/>
    <xf numFmtId="165" fontId="0" fillId="6" borderId="16" xfId="0" applyNumberFormat="1" applyFill="1" applyBorder="1" applyAlignment="1"/>
    <xf numFmtId="0" fontId="0" fillId="6" borderId="7" xfId="0" applyFill="1" applyBorder="1" applyAlignment="1"/>
    <xf numFmtId="165" fontId="0" fillId="6" borderId="7" xfId="0" applyNumberFormat="1" applyFill="1" applyBorder="1" applyAlignment="1"/>
    <xf numFmtId="165" fontId="0" fillId="6" borderId="44" xfId="0" applyNumberFormat="1" applyFill="1" applyBorder="1" applyAlignment="1"/>
    <xf numFmtId="0" fontId="0" fillId="4" borderId="0" xfId="0" applyFont="1" applyFill="1" applyBorder="1"/>
    <xf numFmtId="0" fontId="0" fillId="0" borderId="0" xfId="0" applyFont="1" applyFill="1" applyBorder="1"/>
    <xf numFmtId="165" fontId="0" fillId="0" borderId="0" xfId="0" applyNumberFormat="1" applyFill="1" applyBorder="1"/>
    <xf numFmtId="0" fontId="8" fillId="3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65" fontId="0" fillId="0" borderId="1" xfId="0" applyNumberFormat="1" applyBorder="1" applyAlignment="1"/>
    <xf numFmtId="2" fontId="0" fillId="0" borderId="1" xfId="0" applyNumberFormat="1" applyBorder="1" applyAlignment="1"/>
    <xf numFmtId="166" fontId="0" fillId="0" borderId="1" xfId="0" applyNumberFormat="1" applyBorder="1" applyAlignment="1"/>
    <xf numFmtId="165" fontId="8" fillId="0" borderId="1" xfId="0" applyNumberFormat="1" applyFont="1" applyBorder="1" applyAlignment="1"/>
    <xf numFmtId="166" fontId="8" fillId="0" borderId="1" xfId="0" applyNumberFormat="1" applyFont="1" applyBorder="1" applyAlignment="1"/>
    <xf numFmtId="2" fontId="8" fillId="0" borderId="1" xfId="0" applyNumberFormat="1" applyFont="1" applyBorder="1" applyAlignment="1"/>
    <xf numFmtId="165" fontId="0" fillId="0" borderId="1" xfId="0" applyNumberFormat="1" applyBorder="1" applyAlignment="1">
      <alignment horizontal="right" vertical="center"/>
    </xf>
    <xf numFmtId="166" fontId="0" fillId="0" borderId="1" xfId="0" applyNumberFormat="1" applyBorder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  <xf numFmtId="165" fontId="0" fillId="6" borderId="1" xfId="0" applyNumberFormat="1" applyFill="1" applyBorder="1" applyAlignment="1">
      <alignment horizontal="right" vertical="center"/>
    </xf>
    <xf numFmtId="166" fontId="0" fillId="6" borderId="1" xfId="0" applyNumberFormat="1" applyFill="1" applyBorder="1" applyAlignment="1">
      <alignment horizontal="right" vertical="center"/>
    </xf>
    <xf numFmtId="0" fontId="8" fillId="6" borderId="12" xfId="0" applyFont="1" applyFill="1" applyBorder="1" applyAlignment="1">
      <alignment horizontal="center" vertical="center"/>
    </xf>
    <xf numFmtId="2" fontId="0" fillId="6" borderId="15" xfId="0" applyNumberFormat="1" applyFill="1" applyBorder="1" applyAlignment="1">
      <alignment horizontal="right" vertical="center"/>
    </xf>
    <xf numFmtId="0" fontId="8" fillId="0" borderId="6" xfId="0" applyFont="1" applyBorder="1" applyAlignment="1">
      <alignment horizontal="left" vertical="center"/>
    </xf>
    <xf numFmtId="165" fontId="8" fillId="3" borderId="12" xfId="0" applyNumberFormat="1" applyFont="1" applyFill="1" applyBorder="1" applyAlignment="1"/>
    <xf numFmtId="166" fontId="8" fillId="3" borderId="12" xfId="0" applyNumberFormat="1" applyFont="1" applyFill="1" applyBorder="1" applyAlignment="1"/>
    <xf numFmtId="2" fontId="8" fillId="3" borderId="14" xfId="0" applyNumberFormat="1" applyFont="1" applyFill="1" applyBorder="1" applyAlignment="1"/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8" fillId="3" borderId="31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/>
    </xf>
    <xf numFmtId="0" fontId="8" fillId="6" borderId="31" xfId="0" applyFont="1" applyFill="1" applyBorder="1" applyAlignment="1">
      <alignment horizontal="center" vertical="center"/>
    </xf>
    <xf numFmtId="0" fontId="8" fillId="6" borderId="35" xfId="0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6" borderId="43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0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387252519361013E-2"/>
          <c:y val="4.3035993740219089E-2"/>
          <c:w val="0.90186108680859334"/>
          <c:h val="0.76368033221199461"/>
        </c:manualLayout>
      </c:layout>
      <c:scatterChart>
        <c:scatterStyle val="smoothMarker"/>
        <c:varyColors val="0"/>
        <c:ser>
          <c:idx val="0"/>
          <c:order val="0"/>
          <c:tx>
            <c:v>tepelná ztráta domu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SCOP!$G$4:$G$31</c:f>
              <c:numCache>
                <c:formatCode>General</c:formatCode>
                <c:ptCount val="28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2</c:v>
                </c:pt>
                <c:pt idx="14">
                  <c:v>3</c:v>
                </c:pt>
                <c:pt idx="15">
                  <c:v>4</c:v>
                </c:pt>
                <c:pt idx="16">
                  <c:v>5</c:v>
                </c:pt>
                <c:pt idx="17">
                  <c:v>6</c:v>
                </c:pt>
                <c:pt idx="18">
                  <c:v>7</c:v>
                </c:pt>
                <c:pt idx="19">
                  <c:v>8</c:v>
                </c:pt>
                <c:pt idx="20">
                  <c:v>9</c:v>
                </c:pt>
                <c:pt idx="21">
                  <c:v>10</c:v>
                </c:pt>
                <c:pt idx="22">
                  <c:v>11</c:v>
                </c:pt>
                <c:pt idx="23">
                  <c:v>12</c:v>
                </c:pt>
                <c:pt idx="24">
                  <c:v>13</c:v>
                </c:pt>
                <c:pt idx="25">
                  <c:v>14</c:v>
                </c:pt>
                <c:pt idx="26">
                  <c:v>15</c:v>
                </c:pt>
                <c:pt idx="27">
                  <c:v>16</c:v>
                </c:pt>
              </c:numCache>
            </c:numRef>
          </c:xVal>
          <c:yVal>
            <c:numRef>
              <c:f>SCOP!$I$4:$I$31</c:f>
              <c:numCache>
                <c:formatCode>0.00</c:formatCode>
                <c:ptCount val="28"/>
                <c:pt idx="0">
                  <c:v>24</c:v>
                </c:pt>
                <c:pt idx="1">
                  <c:v>23.076923076923077</c:v>
                </c:pt>
                <c:pt idx="2">
                  <c:v>22.153846153846153</c:v>
                </c:pt>
                <c:pt idx="3">
                  <c:v>21.23076923076923</c:v>
                </c:pt>
                <c:pt idx="4">
                  <c:v>20.307692307692307</c:v>
                </c:pt>
                <c:pt idx="5">
                  <c:v>19.384615384615383</c:v>
                </c:pt>
                <c:pt idx="6">
                  <c:v>18.46153846153846</c:v>
                </c:pt>
                <c:pt idx="7">
                  <c:v>17.538461538461537</c:v>
                </c:pt>
                <c:pt idx="8">
                  <c:v>16.615384615384613</c:v>
                </c:pt>
                <c:pt idx="9">
                  <c:v>15.69230769230769</c:v>
                </c:pt>
                <c:pt idx="10">
                  <c:v>14.769230769230766</c:v>
                </c:pt>
                <c:pt idx="11">
                  <c:v>13.846153846153843</c:v>
                </c:pt>
                <c:pt idx="12">
                  <c:v>12.92307692307692</c:v>
                </c:pt>
                <c:pt idx="13">
                  <c:v>12.92307692307692</c:v>
                </c:pt>
                <c:pt idx="14">
                  <c:v>11.999999999999996</c:v>
                </c:pt>
                <c:pt idx="15">
                  <c:v>11.076923076923073</c:v>
                </c:pt>
                <c:pt idx="16">
                  <c:v>10.15384615384615</c:v>
                </c:pt>
                <c:pt idx="17">
                  <c:v>9.2307692307692264</c:v>
                </c:pt>
                <c:pt idx="18">
                  <c:v>8.307692307692303</c:v>
                </c:pt>
                <c:pt idx="19">
                  <c:v>7.3846153846153797</c:v>
                </c:pt>
                <c:pt idx="20">
                  <c:v>6.4615384615384563</c:v>
                </c:pt>
                <c:pt idx="21">
                  <c:v>5.538461538461533</c:v>
                </c:pt>
                <c:pt idx="22">
                  <c:v>4.6153846153846096</c:v>
                </c:pt>
                <c:pt idx="23">
                  <c:v>3.6923076923076863</c:v>
                </c:pt>
                <c:pt idx="24">
                  <c:v>2.7692307692307629</c:v>
                </c:pt>
                <c:pt idx="25">
                  <c:v>1.8461538461538398</c:v>
                </c:pt>
                <c:pt idx="26">
                  <c:v>0.92307692307691669</c:v>
                </c:pt>
                <c:pt idx="27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255-4B66-947D-07815AC219DC}"/>
            </c:ext>
          </c:extLst>
        </c:ser>
        <c:ser>
          <c:idx val="1"/>
          <c:order val="1"/>
          <c:tx>
            <c:v>výkon TČ - 2 kompresory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SCOP!$G$4:$G$16</c:f>
              <c:numCache>
                <c:formatCode>General</c:formatCode>
                <c:ptCount val="13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</c:numCache>
            </c:numRef>
          </c:xVal>
          <c:yVal>
            <c:numRef>
              <c:f>SCOP!$J$4:$J$16</c:f>
              <c:numCache>
                <c:formatCode>0.00</c:formatCode>
                <c:ptCount val="13"/>
                <c:pt idx="0">
                  <c:v>24.863</c:v>
                </c:pt>
                <c:pt idx="1">
                  <c:v>24.881333333333334</c:v>
                </c:pt>
                <c:pt idx="2">
                  <c:v>24.899666666666665</c:v>
                </c:pt>
                <c:pt idx="3">
                  <c:v>24.917999999999999</c:v>
                </c:pt>
                <c:pt idx="4">
                  <c:v>24.939777777777778</c:v>
                </c:pt>
                <c:pt idx="5">
                  <c:v>24.961555555555556</c:v>
                </c:pt>
                <c:pt idx="6">
                  <c:v>24.983333333333334</c:v>
                </c:pt>
                <c:pt idx="7">
                  <c:v>25.005111111111113</c:v>
                </c:pt>
                <c:pt idx="8">
                  <c:v>25.026888888888887</c:v>
                </c:pt>
                <c:pt idx="9">
                  <c:v>25.048666666666666</c:v>
                </c:pt>
                <c:pt idx="10">
                  <c:v>25.070444444444444</c:v>
                </c:pt>
                <c:pt idx="11">
                  <c:v>25.092222222222222</c:v>
                </c:pt>
                <c:pt idx="12">
                  <c:v>25.114000000000001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255-4B66-947D-07815AC219DC}"/>
            </c:ext>
          </c:extLst>
        </c:ser>
        <c:ser>
          <c:idx val="2"/>
          <c:order val="2"/>
          <c:tx>
            <c:v>výkon TČ - 1 kompresor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SCOP!$G$17:$G$30</c:f>
              <c:numCache>
                <c:formatCode>General</c:formatCode>
                <c:ptCount val="14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</c:numCache>
            </c:numRef>
          </c:xVal>
          <c:yVal>
            <c:numRef>
              <c:f>SCOP!$J$17:$J$30</c:f>
              <c:numCache>
                <c:formatCode>0.00</c:formatCode>
                <c:ptCount val="14"/>
                <c:pt idx="0">
                  <c:v>13.287000000000001</c:v>
                </c:pt>
                <c:pt idx="1">
                  <c:v>13.3124</c:v>
                </c:pt>
                <c:pt idx="2">
                  <c:v>13.3378</c:v>
                </c:pt>
                <c:pt idx="3">
                  <c:v>13.363200000000001</c:v>
                </c:pt>
                <c:pt idx="4">
                  <c:v>13.3886</c:v>
                </c:pt>
                <c:pt idx="5">
                  <c:v>13.414</c:v>
                </c:pt>
                <c:pt idx="6">
                  <c:v>13.4398</c:v>
                </c:pt>
                <c:pt idx="7">
                  <c:v>13.4656</c:v>
                </c:pt>
                <c:pt idx="8">
                  <c:v>13.491399999999999</c:v>
                </c:pt>
                <c:pt idx="9">
                  <c:v>13.517199999999999</c:v>
                </c:pt>
                <c:pt idx="10">
                  <c:v>13.542999999999999</c:v>
                </c:pt>
                <c:pt idx="11">
                  <c:v>13.5688</c:v>
                </c:pt>
                <c:pt idx="12">
                  <c:v>13.5946</c:v>
                </c:pt>
                <c:pt idx="13">
                  <c:v>13.620399999999998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255-4B66-947D-07815AC219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748847"/>
        <c:axId val="149751343"/>
      </c:scatterChart>
      <c:valAx>
        <c:axId val="149748847"/>
        <c:scaling>
          <c:orientation val="minMax"/>
          <c:max val="16"/>
          <c:min val="-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venkovní</a:t>
                </a:r>
                <a:r>
                  <a:rPr lang="cs-CZ" baseline="0"/>
                  <a:t> teplota [°C]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49751343"/>
        <c:crosses val="autoZero"/>
        <c:crossBetween val="midCat"/>
        <c:majorUnit val="1"/>
        <c:minorUnit val="1"/>
      </c:valAx>
      <c:valAx>
        <c:axId val="149751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Výkon</a:t>
                </a:r>
                <a:r>
                  <a:rPr lang="cs-CZ" baseline="0"/>
                  <a:t> / ztráta [kW]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49748847"/>
        <c:crossesAt val="-10"/>
        <c:crossBetween val="midCat"/>
        <c:majorUnit val="2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4.2950649687307607E-4"/>
          <c:y val="0.9258346456692913"/>
          <c:w val="0.99957042869641299"/>
          <c:h val="7.243077889911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8241911999267236E-2"/>
          <c:y val="5.0925925925925923E-2"/>
          <c:w val="0.9002946833811839"/>
          <c:h val="0.72498468941382332"/>
        </c:manualLayout>
      </c:layout>
      <c:scatterChart>
        <c:scatterStyle val="smoothMarker"/>
        <c:varyColors val="0"/>
        <c:ser>
          <c:idx val="0"/>
          <c:order val="0"/>
          <c:tx>
            <c:v>COPd 2 kompresory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SCOP!$G$4:$G$16</c:f>
              <c:numCache>
                <c:formatCode>General</c:formatCode>
                <c:ptCount val="13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</c:numCache>
            </c:numRef>
          </c:xVal>
          <c:yVal>
            <c:numRef>
              <c:f>SCOP!$N$4:$N$16</c:f>
              <c:numCache>
                <c:formatCode>0.000</c:formatCode>
                <c:ptCount val="13"/>
                <c:pt idx="0">
                  <c:v>3.7785714285714289</c:v>
                </c:pt>
                <c:pt idx="1">
                  <c:v>3.808561661309251</c:v>
                </c:pt>
                <c:pt idx="2">
                  <c:v>3.8383947381943377</c:v>
                </c:pt>
                <c:pt idx="3">
                  <c:v>3.8680533995653525</c:v>
                </c:pt>
                <c:pt idx="4">
                  <c:v>3.9102818717117875</c:v>
                </c:pt>
                <c:pt idx="5">
                  <c:v>3.9527403888449024</c:v>
                </c:pt>
                <c:pt idx="6">
                  <c:v>3.994776676260527</c:v>
                </c:pt>
                <c:pt idx="7">
                  <c:v>4.0363375482019554</c:v>
                </c:pt>
                <c:pt idx="8">
                  <c:v>4.0786976676807187</c:v>
                </c:pt>
                <c:pt idx="9">
                  <c:v>4.1205242090256071</c:v>
                </c:pt>
                <c:pt idx="10">
                  <c:v>4.1624513439223714</c:v>
                </c:pt>
                <c:pt idx="11">
                  <c:v>4.2037564453379499</c:v>
                </c:pt>
                <c:pt idx="12">
                  <c:v>4.2458157227388007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135-424C-8192-51FBF20C6EB4}"/>
            </c:ext>
          </c:extLst>
        </c:ser>
        <c:ser>
          <c:idx val="1"/>
          <c:order val="1"/>
          <c:tx>
            <c:v>COPd 1 kompresor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SCOP!$G$17:$G$30</c:f>
              <c:numCache>
                <c:formatCode>General</c:formatCode>
                <c:ptCount val="14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</c:numCache>
            </c:numRef>
          </c:xVal>
          <c:yVal>
            <c:numRef>
              <c:f>SCOP!$N$17:$N$30</c:f>
              <c:numCache>
                <c:formatCode>0.000</c:formatCode>
                <c:ptCount val="14"/>
                <c:pt idx="0">
                  <c:v>4.6637416637416642</c:v>
                </c:pt>
                <c:pt idx="1">
                  <c:v>4.729094138543517</c:v>
                </c:pt>
                <c:pt idx="2">
                  <c:v>4.7960445882775975</c:v>
                </c:pt>
                <c:pt idx="3">
                  <c:v>4.8646523480160191</c:v>
                </c:pt>
                <c:pt idx="4">
                  <c:v>4.9331613854089902</c:v>
                </c:pt>
                <c:pt idx="5">
                  <c:v>5.0052238805970148</c:v>
                </c:pt>
                <c:pt idx="6">
                  <c:v>5.0773706082357393</c:v>
                </c:pt>
                <c:pt idx="7">
                  <c:v>5.1513389441469029</c:v>
                </c:pt>
                <c:pt idx="8">
                  <c:v>5.2231513743708868</c:v>
                </c:pt>
                <c:pt idx="9">
                  <c:v>5.2946337641989825</c:v>
                </c:pt>
                <c:pt idx="10">
                  <c:v>5.3656893819334393</c:v>
                </c:pt>
                <c:pt idx="11">
                  <c:v>5.4383967935871746</c:v>
                </c:pt>
                <c:pt idx="12">
                  <c:v>5.5105796513984595</c:v>
                </c:pt>
                <c:pt idx="13">
                  <c:v>5.5821311475409834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135-424C-8192-51FBF20C6EB4}"/>
            </c:ext>
          </c:extLst>
        </c:ser>
        <c:ser>
          <c:idx val="2"/>
          <c:order val="2"/>
          <c:tx>
            <c:v>COPbin 2 kompresory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SCOP!$G$4:$G$16</c:f>
              <c:numCache>
                <c:formatCode>General</c:formatCode>
                <c:ptCount val="13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</c:numCache>
            </c:numRef>
          </c:xVal>
          <c:yVal>
            <c:numRef>
              <c:f>SCOP!$P$4:$P$16</c:f>
              <c:numCache>
                <c:formatCode>0.000</c:formatCode>
                <c:ptCount val="13"/>
                <c:pt idx="0">
                  <c:v>3.7650329974182126</c:v>
                </c:pt>
                <c:pt idx="1">
                  <c:v>3.7790131376952636</c:v>
                </c:pt>
                <c:pt idx="2">
                  <c:v>3.7914028450842068</c:v>
                </c:pt>
                <c:pt idx="3">
                  <c:v>3.8020221924020907</c:v>
                </c:pt>
                <c:pt idx="4">
                  <c:v>3.8230792993794687</c:v>
                </c:pt>
                <c:pt idx="5">
                  <c:v>3.8422005500739864</c:v>
                </c:pt>
                <c:pt idx="6">
                  <c:v>3.8584708350259644</c:v>
                </c:pt>
                <c:pt idx="7">
                  <c:v>3.8715155108132877</c:v>
                </c:pt>
                <c:pt idx="8">
                  <c:v>3.8821639181248107</c:v>
                </c:pt>
                <c:pt idx="9">
                  <c:v>3.8886668933322803</c:v>
                </c:pt>
                <c:pt idx="10">
                  <c:v>3.8910585656914076</c:v>
                </c:pt>
                <c:pt idx="11">
                  <c:v>3.8879693359234602</c:v>
                </c:pt>
                <c:pt idx="12">
                  <c:v>3.8798152030866691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135-424C-8192-51FBF20C6EB4}"/>
            </c:ext>
          </c:extLst>
        </c:ser>
        <c:ser>
          <c:idx val="3"/>
          <c:order val="3"/>
          <c:tx>
            <c:v>COPbin 1 kompresor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SCOP!$G$17:$G$30</c:f>
              <c:numCache>
                <c:formatCode>General</c:formatCode>
                <c:ptCount val="14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</c:numCache>
            </c:numRef>
          </c:xVal>
          <c:yVal>
            <c:numRef>
              <c:f>SCOP!$P$17:$P$30</c:f>
              <c:numCache>
                <c:formatCode>0.000</c:formatCode>
                <c:ptCount val="14"/>
                <c:pt idx="0">
                  <c:v>4.6506451149091435</c:v>
                </c:pt>
                <c:pt idx="1">
                  <c:v>4.6779331430688211</c:v>
                </c:pt>
                <c:pt idx="2">
                  <c:v>4.7001120376230192</c:v>
                </c:pt>
                <c:pt idx="3">
                  <c:v>4.7156049367074333</c:v>
                </c:pt>
                <c:pt idx="4">
                  <c:v>4.7205336035487431</c:v>
                </c:pt>
                <c:pt idx="5">
                  <c:v>4.7153931159463207</c:v>
                </c:pt>
                <c:pt idx="6">
                  <c:v>4.6925908662994473</c:v>
                </c:pt>
                <c:pt idx="7">
                  <c:v>4.6475610331480643</c:v>
                </c:pt>
                <c:pt idx="8">
                  <c:v>4.5673097932992457</c:v>
                </c:pt>
                <c:pt idx="9">
                  <c:v>4.4385573684022557</c:v>
                </c:pt>
                <c:pt idx="10">
                  <c:v>4.2356595385119693</c:v>
                </c:pt>
                <c:pt idx="11">
                  <c:v>3.9125594644771837</c:v>
                </c:pt>
                <c:pt idx="12">
                  <c:v>3.3675547827937389</c:v>
                </c:pt>
                <c:pt idx="13">
                  <c:v>2.3498334335615687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135-424C-8192-51FBF20C6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2275327"/>
        <c:axId val="412267839"/>
      </c:scatterChart>
      <c:valAx>
        <c:axId val="412275327"/>
        <c:scaling>
          <c:orientation val="minMax"/>
          <c:max val="16"/>
          <c:min val="-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venkovní</a:t>
                </a:r>
                <a:r>
                  <a:rPr lang="cs-CZ" baseline="0"/>
                  <a:t> teplota [°C]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12267839"/>
        <c:crosses val="autoZero"/>
        <c:crossBetween val="midCat"/>
        <c:majorUnit val="1"/>
      </c:valAx>
      <c:valAx>
        <c:axId val="412267839"/>
        <c:scaling>
          <c:orientation val="minMax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COP [-]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12275327"/>
        <c:crossesAt val="-10"/>
        <c:crossBetween val="midCat"/>
        <c:minorUnit val="0.1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1783816657064672E-3"/>
          <c:y val="0.89930446194225722"/>
          <c:w val="0.99882161833429361"/>
          <c:h val="9.95392242636337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088247758092738"/>
          <c:y val="4.2635658914728682E-2"/>
          <c:w val="0.86620085575240591"/>
          <c:h val="0.81239028261002255"/>
        </c:manualLayout>
      </c:layout>
      <c:scatterChart>
        <c:scatterStyle val="lineMarker"/>
        <c:varyColors val="0"/>
        <c:ser>
          <c:idx val="0"/>
          <c:order val="0"/>
          <c:tx>
            <c:strRef>
              <c:f>oblasti!$C$1</c:f>
              <c:strCache>
                <c:ptCount val="1"/>
                <c:pt idx="0">
                  <c:v>Teplejší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oblasti!$B$5:$B$42</c:f>
              <c:numCache>
                <c:formatCode>General</c:formatCode>
                <c:ptCount val="38"/>
                <c:pt idx="0">
                  <c:v>-22</c:v>
                </c:pt>
                <c:pt idx="1">
                  <c:v>-21</c:v>
                </c:pt>
                <c:pt idx="2">
                  <c:v>-20</c:v>
                </c:pt>
                <c:pt idx="3">
                  <c:v>-19</c:v>
                </c:pt>
                <c:pt idx="4">
                  <c:v>-18</c:v>
                </c:pt>
                <c:pt idx="5">
                  <c:v>-17</c:v>
                </c:pt>
                <c:pt idx="6">
                  <c:v>-16</c:v>
                </c:pt>
                <c:pt idx="7">
                  <c:v>-15</c:v>
                </c:pt>
                <c:pt idx="8">
                  <c:v>-14</c:v>
                </c:pt>
                <c:pt idx="9">
                  <c:v>-13</c:v>
                </c:pt>
                <c:pt idx="10">
                  <c:v>-12</c:v>
                </c:pt>
                <c:pt idx="11">
                  <c:v>-11</c:v>
                </c:pt>
                <c:pt idx="12">
                  <c:v>-10</c:v>
                </c:pt>
                <c:pt idx="13">
                  <c:v>-9</c:v>
                </c:pt>
                <c:pt idx="14">
                  <c:v>-8</c:v>
                </c:pt>
                <c:pt idx="15">
                  <c:v>-7</c:v>
                </c:pt>
                <c:pt idx="16">
                  <c:v>-6</c:v>
                </c:pt>
                <c:pt idx="17">
                  <c:v>-5</c:v>
                </c:pt>
                <c:pt idx="18">
                  <c:v>-4</c:v>
                </c:pt>
                <c:pt idx="19">
                  <c:v>-3</c:v>
                </c:pt>
                <c:pt idx="20">
                  <c:v>-2</c:v>
                </c:pt>
                <c:pt idx="21">
                  <c:v>-1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3</c:v>
                </c:pt>
                <c:pt idx="26">
                  <c:v>4</c:v>
                </c:pt>
                <c:pt idx="27">
                  <c:v>5</c:v>
                </c:pt>
                <c:pt idx="28">
                  <c:v>6</c:v>
                </c:pt>
                <c:pt idx="29">
                  <c:v>7</c:v>
                </c:pt>
                <c:pt idx="30">
                  <c:v>8</c:v>
                </c:pt>
                <c:pt idx="31">
                  <c:v>9</c:v>
                </c:pt>
                <c:pt idx="32">
                  <c:v>10</c:v>
                </c:pt>
                <c:pt idx="33">
                  <c:v>11</c:v>
                </c:pt>
                <c:pt idx="34">
                  <c:v>12</c:v>
                </c:pt>
                <c:pt idx="35">
                  <c:v>13</c:v>
                </c:pt>
                <c:pt idx="36">
                  <c:v>14</c:v>
                </c:pt>
                <c:pt idx="37">
                  <c:v>15</c:v>
                </c:pt>
              </c:numCache>
            </c:numRef>
          </c:xVal>
          <c:yVal>
            <c:numRef>
              <c:f>oblasti!$C$5:$C$42</c:f>
              <c:numCache>
                <c:formatCode>General</c:formatCode>
                <c:ptCount val="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3</c:v>
                </c:pt>
                <c:pt idx="25">
                  <c:v>22</c:v>
                </c:pt>
                <c:pt idx="26">
                  <c:v>63</c:v>
                </c:pt>
                <c:pt idx="27">
                  <c:v>63</c:v>
                </c:pt>
                <c:pt idx="28">
                  <c:v>175</c:v>
                </c:pt>
                <c:pt idx="29">
                  <c:v>162</c:v>
                </c:pt>
                <c:pt idx="30">
                  <c:v>259</c:v>
                </c:pt>
                <c:pt idx="31">
                  <c:v>360</c:v>
                </c:pt>
                <c:pt idx="32">
                  <c:v>428</c:v>
                </c:pt>
                <c:pt idx="33">
                  <c:v>430</c:v>
                </c:pt>
                <c:pt idx="34">
                  <c:v>503</c:v>
                </c:pt>
                <c:pt idx="35">
                  <c:v>444</c:v>
                </c:pt>
                <c:pt idx="36">
                  <c:v>384</c:v>
                </c:pt>
                <c:pt idx="37">
                  <c:v>294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F30-43F4-87C9-91087EBEAEB3}"/>
            </c:ext>
          </c:extLst>
        </c:ser>
        <c:ser>
          <c:idx val="1"/>
          <c:order val="1"/>
          <c:tx>
            <c:strRef>
              <c:f>oblasti!$D$1</c:f>
              <c:strCache>
                <c:ptCount val="1"/>
                <c:pt idx="0">
                  <c:v>Průměrné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oblasti!$B$5:$B$42</c:f>
              <c:numCache>
                <c:formatCode>General</c:formatCode>
                <c:ptCount val="38"/>
                <c:pt idx="0">
                  <c:v>-22</c:v>
                </c:pt>
                <c:pt idx="1">
                  <c:v>-21</c:v>
                </c:pt>
                <c:pt idx="2">
                  <c:v>-20</c:v>
                </c:pt>
                <c:pt idx="3">
                  <c:v>-19</c:v>
                </c:pt>
                <c:pt idx="4">
                  <c:v>-18</c:v>
                </c:pt>
                <c:pt idx="5">
                  <c:v>-17</c:v>
                </c:pt>
                <c:pt idx="6">
                  <c:v>-16</c:v>
                </c:pt>
                <c:pt idx="7">
                  <c:v>-15</c:v>
                </c:pt>
                <c:pt idx="8">
                  <c:v>-14</c:v>
                </c:pt>
                <c:pt idx="9">
                  <c:v>-13</c:v>
                </c:pt>
                <c:pt idx="10">
                  <c:v>-12</c:v>
                </c:pt>
                <c:pt idx="11">
                  <c:v>-11</c:v>
                </c:pt>
                <c:pt idx="12">
                  <c:v>-10</c:v>
                </c:pt>
                <c:pt idx="13">
                  <c:v>-9</c:v>
                </c:pt>
                <c:pt idx="14">
                  <c:v>-8</c:v>
                </c:pt>
                <c:pt idx="15">
                  <c:v>-7</c:v>
                </c:pt>
                <c:pt idx="16">
                  <c:v>-6</c:v>
                </c:pt>
                <c:pt idx="17">
                  <c:v>-5</c:v>
                </c:pt>
                <c:pt idx="18">
                  <c:v>-4</c:v>
                </c:pt>
                <c:pt idx="19">
                  <c:v>-3</c:v>
                </c:pt>
                <c:pt idx="20">
                  <c:v>-2</c:v>
                </c:pt>
                <c:pt idx="21">
                  <c:v>-1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3</c:v>
                </c:pt>
                <c:pt idx="26">
                  <c:v>4</c:v>
                </c:pt>
                <c:pt idx="27">
                  <c:v>5</c:v>
                </c:pt>
                <c:pt idx="28">
                  <c:v>6</c:v>
                </c:pt>
                <c:pt idx="29">
                  <c:v>7</c:v>
                </c:pt>
                <c:pt idx="30">
                  <c:v>8</c:v>
                </c:pt>
                <c:pt idx="31">
                  <c:v>9</c:v>
                </c:pt>
                <c:pt idx="32">
                  <c:v>10</c:v>
                </c:pt>
                <c:pt idx="33">
                  <c:v>11</c:v>
                </c:pt>
                <c:pt idx="34">
                  <c:v>12</c:v>
                </c:pt>
                <c:pt idx="35">
                  <c:v>13</c:v>
                </c:pt>
                <c:pt idx="36">
                  <c:v>14</c:v>
                </c:pt>
                <c:pt idx="37">
                  <c:v>15</c:v>
                </c:pt>
              </c:numCache>
            </c:numRef>
          </c:xVal>
          <c:yVal>
            <c:numRef>
              <c:f>oblasti!$D$5:$D$42</c:f>
              <c:numCache>
                <c:formatCode>General</c:formatCode>
                <c:ptCount val="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25</c:v>
                </c:pt>
                <c:pt idx="14">
                  <c:v>23</c:v>
                </c:pt>
                <c:pt idx="15">
                  <c:v>24</c:v>
                </c:pt>
                <c:pt idx="16">
                  <c:v>27</c:v>
                </c:pt>
                <c:pt idx="17">
                  <c:v>68</c:v>
                </c:pt>
                <c:pt idx="18">
                  <c:v>91</c:v>
                </c:pt>
                <c:pt idx="19">
                  <c:v>89</c:v>
                </c:pt>
                <c:pt idx="20">
                  <c:v>165</c:v>
                </c:pt>
                <c:pt idx="21">
                  <c:v>173</c:v>
                </c:pt>
                <c:pt idx="22">
                  <c:v>240</c:v>
                </c:pt>
                <c:pt idx="23">
                  <c:v>280</c:v>
                </c:pt>
                <c:pt idx="24">
                  <c:v>320</c:v>
                </c:pt>
                <c:pt idx="25">
                  <c:v>357</c:v>
                </c:pt>
                <c:pt idx="26">
                  <c:v>356</c:v>
                </c:pt>
                <c:pt idx="27">
                  <c:v>303</c:v>
                </c:pt>
                <c:pt idx="28">
                  <c:v>330</c:v>
                </c:pt>
                <c:pt idx="29">
                  <c:v>326</c:v>
                </c:pt>
                <c:pt idx="30">
                  <c:v>348</c:v>
                </c:pt>
                <c:pt idx="31">
                  <c:v>335</c:v>
                </c:pt>
                <c:pt idx="32">
                  <c:v>315</c:v>
                </c:pt>
                <c:pt idx="33">
                  <c:v>215</c:v>
                </c:pt>
                <c:pt idx="34">
                  <c:v>169</c:v>
                </c:pt>
                <c:pt idx="35">
                  <c:v>151</c:v>
                </c:pt>
                <c:pt idx="36">
                  <c:v>105</c:v>
                </c:pt>
                <c:pt idx="37">
                  <c:v>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F30-43F4-87C9-91087EBEAEB3}"/>
            </c:ext>
          </c:extLst>
        </c:ser>
        <c:ser>
          <c:idx val="2"/>
          <c:order val="2"/>
          <c:tx>
            <c:strRef>
              <c:f>oblasti!$E$1</c:f>
              <c:strCache>
                <c:ptCount val="1"/>
                <c:pt idx="0">
                  <c:v>Chladnější</c:v>
                </c:pt>
              </c:strCache>
            </c:strRef>
          </c:tx>
          <c:spPr>
            <a:ln w="19050" cap="rnd">
              <a:solidFill>
                <a:srgbClr val="00B0F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oblasti!$B$5:$B$42</c:f>
              <c:numCache>
                <c:formatCode>General</c:formatCode>
                <c:ptCount val="38"/>
                <c:pt idx="0">
                  <c:v>-22</c:v>
                </c:pt>
                <c:pt idx="1">
                  <c:v>-21</c:v>
                </c:pt>
                <c:pt idx="2">
                  <c:v>-20</c:v>
                </c:pt>
                <c:pt idx="3">
                  <c:v>-19</c:v>
                </c:pt>
                <c:pt idx="4">
                  <c:v>-18</c:v>
                </c:pt>
                <c:pt idx="5">
                  <c:v>-17</c:v>
                </c:pt>
                <c:pt idx="6">
                  <c:v>-16</c:v>
                </c:pt>
                <c:pt idx="7">
                  <c:v>-15</c:v>
                </c:pt>
                <c:pt idx="8">
                  <c:v>-14</c:v>
                </c:pt>
                <c:pt idx="9">
                  <c:v>-13</c:v>
                </c:pt>
                <c:pt idx="10">
                  <c:v>-12</c:v>
                </c:pt>
                <c:pt idx="11">
                  <c:v>-11</c:v>
                </c:pt>
                <c:pt idx="12">
                  <c:v>-10</c:v>
                </c:pt>
                <c:pt idx="13">
                  <c:v>-9</c:v>
                </c:pt>
                <c:pt idx="14">
                  <c:v>-8</c:v>
                </c:pt>
                <c:pt idx="15">
                  <c:v>-7</c:v>
                </c:pt>
                <c:pt idx="16">
                  <c:v>-6</c:v>
                </c:pt>
                <c:pt idx="17">
                  <c:v>-5</c:v>
                </c:pt>
                <c:pt idx="18">
                  <c:v>-4</c:v>
                </c:pt>
                <c:pt idx="19">
                  <c:v>-3</c:v>
                </c:pt>
                <c:pt idx="20">
                  <c:v>-2</c:v>
                </c:pt>
                <c:pt idx="21">
                  <c:v>-1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3</c:v>
                </c:pt>
                <c:pt idx="26">
                  <c:v>4</c:v>
                </c:pt>
                <c:pt idx="27">
                  <c:v>5</c:v>
                </c:pt>
                <c:pt idx="28">
                  <c:v>6</c:v>
                </c:pt>
                <c:pt idx="29">
                  <c:v>7</c:v>
                </c:pt>
                <c:pt idx="30">
                  <c:v>8</c:v>
                </c:pt>
                <c:pt idx="31">
                  <c:v>9</c:v>
                </c:pt>
                <c:pt idx="32">
                  <c:v>10</c:v>
                </c:pt>
                <c:pt idx="33">
                  <c:v>11</c:v>
                </c:pt>
                <c:pt idx="34">
                  <c:v>12</c:v>
                </c:pt>
                <c:pt idx="35">
                  <c:v>13</c:v>
                </c:pt>
                <c:pt idx="36">
                  <c:v>14</c:v>
                </c:pt>
                <c:pt idx="37">
                  <c:v>15</c:v>
                </c:pt>
              </c:numCache>
            </c:numRef>
          </c:xVal>
          <c:yVal>
            <c:numRef>
              <c:f>oblasti!$E$5:$E$42</c:f>
              <c:numCache>
                <c:formatCode>General</c:formatCode>
                <c:ptCount val="38"/>
                <c:pt idx="0">
                  <c:v>1</c:v>
                </c:pt>
                <c:pt idx="1">
                  <c:v>6</c:v>
                </c:pt>
                <c:pt idx="2">
                  <c:v>13</c:v>
                </c:pt>
                <c:pt idx="3">
                  <c:v>17</c:v>
                </c:pt>
                <c:pt idx="4">
                  <c:v>19</c:v>
                </c:pt>
                <c:pt idx="5">
                  <c:v>26</c:v>
                </c:pt>
                <c:pt idx="6">
                  <c:v>39</c:v>
                </c:pt>
                <c:pt idx="7">
                  <c:v>41</c:v>
                </c:pt>
                <c:pt idx="8">
                  <c:v>35</c:v>
                </c:pt>
                <c:pt idx="9">
                  <c:v>52</c:v>
                </c:pt>
                <c:pt idx="10">
                  <c:v>37</c:v>
                </c:pt>
                <c:pt idx="11">
                  <c:v>41</c:v>
                </c:pt>
                <c:pt idx="12">
                  <c:v>43</c:v>
                </c:pt>
                <c:pt idx="13">
                  <c:v>54</c:v>
                </c:pt>
                <c:pt idx="14">
                  <c:v>90</c:v>
                </c:pt>
                <c:pt idx="15">
                  <c:v>125</c:v>
                </c:pt>
                <c:pt idx="16">
                  <c:v>169</c:v>
                </c:pt>
                <c:pt idx="17">
                  <c:v>195</c:v>
                </c:pt>
                <c:pt idx="18">
                  <c:v>278</c:v>
                </c:pt>
                <c:pt idx="19">
                  <c:v>306</c:v>
                </c:pt>
                <c:pt idx="20">
                  <c:v>454</c:v>
                </c:pt>
                <c:pt idx="21">
                  <c:v>385</c:v>
                </c:pt>
                <c:pt idx="22">
                  <c:v>490</c:v>
                </c:pt>
                <c:pt idx="23">
                  <c:v>533</c:v>
                </c:pt>
                <c:pt idx="24">
                  <c:v>380</c:v>
                </c:pt>
                <c:pt idx="25">
                  <c:v>228</c:v>
                </c:pt>
                <c:pt idx="26">
                  <c:v>261</c:v>
                </c:pt>
                <c:pt idx="27">
                  <c:v>279</c:v>
                </c:pt>
                <c:pt idx="28">
                  <c:v>229</c:v>
                </c:pt>
                <c:pt idx="29">
                  <c:v>269</c:v>
                </c:pt>
                <c:pt idx="30">
                  <c:v>233</c:v>
                </c:pt>
                <c:pt idx="31">
                  <c:v>230</c:v>
                </c:pt>
                <c:pt idx="32">
                  <c:v>243</c:v>
                </c:pt>
                <c:pt idx="33">
                  <c:v>191</c:v>
                </c:pt>
                <c:pt idx="34">
                  <c:v>146</c:v>
                </c:pt>
                <c:pt idx="35">
                  <c:v>150</c:v>
                </c:pt>
                <c:pt idx="36">
                  <c:v>97</c:v>
                </c:pt>
                <c:pt idx="37">
                  <c:v>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F30-43F4-87C9-91087EBEAE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2804368"/>
        <c:axId val="942802704"/>
      </c:scatterChart>
      <c:valAx>
        <c:axId val="942804368"/>
        <c:scaling>
          <c:orientation val="minMax"/>
          <c:max val="15"/>
          <c:min val="-2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Teplota [°C]</a:t>
                </a:r>
              </a:p>
            </c:rich>
          </c:tx>
          <c:layout>
            <c:manualLayout>
              <c:xMode val="edge"/>
              <c:yMode val="edge"/>
              <c:x val="0.45502792264603281"/>
              <c:y val="0.9139339559299273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942802704"/>
        <c:crosses val="autoZero"/>
        <c:crossBetween val="midCat"/>
        <c:majorUnit val="2"/>
        <c:minorUnit val="1"/>
      </c:valAx>
      <c:valAx>
        <c:axId val="942802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Počet hodin při</a:t>
                </a:r>
                <a:r>
                  <a:rPr lang="cs-CZ" baseline="0"/>
                  <a:t> dané teploře [h]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942804368"/>
        <c:crossesAt val="-25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0825763478783902"/>
          <c:y val="4.5299700909479337E-2"/>
          <c:w val="0.15970103346456693"/>
          <c:h val="0.22723005554538242"/>
        </c:manualLayout>
      </c:layout>
      <c:overlay val="0"/>
      <c:spPr>
        <a:noFill/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457200</xdr:colOff>
      <xdr:row>18</xdr:row>
      <xdr:rowOff>91440</xdr:rowOff>
    </xdr:from>
    <xdr:to>
      <xdr:col>29</xdr:col>
      <xdr:colOff>533400</xdr:colOff>
      <xdr:row>37</xdr:row>
      <xdr:rowOff>45720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365760</xdr:colOff>
      <xdr:row>0</xdr:row>
      <xdr:rowOff>403860</xdr:rowOff>
    </xdr:from>
    <xdr:to>
      <xdr:col>29</xdr:col>
      <xdr:colOff>601980</xdr:colOff>
      <xdr:row>16</xdr:row>
      <xdr:rowOff>15240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</xdr:row>
      <xdr:rowOff>106680</xdr:rowOff>
    </xdr:from>
    <xdr:to>
      <xdr:col>17</xdr:col>
      <xdr:colOff>365760</xdr:colOff>
      <xdr:row>25</xdr:row>
      <xdr:rowOff>91440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B1:AB28"/>
  <sheetViews>
    <sheetView topLeftCell="M1" workbookViewId="0">
      <selection activeCell="R3" sqref="R3:T9"/>
    </sheetView>
  </sheetViews>
  <sheetFormatPr defaultRowHeight="14.4" x14ac:dyDescent="0.3"/>
  <cols>
    <col min="1" max="1" width="1.109375" customWidth="1"/>
    <col min="2" max="2" width="21.44140625" bestFit="1" customWidth="1"/>
    <col min="3" max="3" width="6.21875" bestFit="1" customWidth="1"/>
    <col min="4" max="4" width="3.6640625" bestFit="1" customWidth="1"/>
    <col min="5" max="5" width="3.6640625" customWidth="1"/>
    <col min="6" max="6" width="12.33203125" bestFit="1" customWidth="1"/>
    <col min="7" max="7" width="11.6640625" bestFit="1" customWidth="1"/>
    <col min="8" max="8" width="6.44140625" bestFit="1" customWidth="1"/>
    <col min="9" max="9" width="9.109375" bestFit="1" customWidth="1"/>
    <col min="10" max="10" width="13.109375" bestFit="1" customWidth="1"/>
    <col min="11" max="11" width="7.5546875" bestFit="1" customWidth="1"/>
    <col min="12" max="12" width="9.88671875" bestFit="1" customWidth="1"/>
    <col min="14" max="14" width="28.5546875" bestFit="1" customWidth="1"/>
    <col min="15" max="15" width="11.109375" customWidth="1"/>
    <col min="16" max="16" width="4.33203125" bestFit="1" customWidth="1"/>
    <col min="18" max="18" width="17.6640625" bestFit="1" customWidth="1"/>
    <col min="19" max="19" width="3" bestFit="1" customWidth="1"/>
    <col min="20" max="20" width="3.6640625" bestFit="1" customWidth="1"/>
    <col min="22" max="22" width="8.33203125" bestFit="1" customWidth="1"/>
    <col min="23" max="23" width="7.21875" bestFit="1" customWidth="1"/>
    <col min="24" max="24" width="12" customWidth="1"/>
    <col min="25" max="25" width="11.5546875" customWidth="1"/>
    <col min="26" max="26" width="8.21875" customWidth="1"/>
    <col min="27" max="27" width="12.21875" customWidth="1"/>
    <col min="28" max="28" width="12.6640625" customWidth="1"/>
  </cols>
  <sheetData>
    <row r="1" spans="2:28" ht="6" customHeight="1" x14ac:dyDescent="0.3"/>
    <row r="2" spans="2:28" ht="31.2" thickBot="1" x14ac:dyDescent="0.35">
      <c r="F2" s="8" t="s">
        <v>13</v>
      </c>
      <c r="G2" s="7" t="s">
        <v>12</v>
      </c>
      <c r="H2" s="7" t="s">
        <v>11</v>
      </c>
      <c r="I2" s="7" t="s">
        <v>10</v>
      </c>
      <c r="J2" s="7" t="s">
        <v>9</v>
      </c>
      <c r="K2" s="7" t="s">
        <v>8</v>
      </c>
      <c r="L2" s="7" t="s">
        <v>7</v>
      </c>
      <c r="V2" s="13" t="s">
        <v>30</v>
      </c>
      <c r="W2" s="13" t="s">
        <v>31</v>
      </c>
      <c r="X2" s="13" t="s">
        <v>32</v>
      </c>
      <c r="Y2" s="13" t="s">
        <v>33</v>
      </c>
      <c r="Z2" s="13" t="s">
        <v>39</v>
      </c>
      <c r="AA2" s="13" t="s">
        <v>34</v>
      </c>
      <c r="AB2" s="13" t="s">
        <v>35</v>
      </c>
    </row>
    <row r="3" spans="2:28" ht="15.6" thickTop="1" thickBot="1" x14ac:dyDescent="0.35">
      <c r="B3" s="182" t="s">
        <v>23</v>
      </c>
      <c r="C3" s="182"/>
      <c r="D3" s="182"/>
      <c r="F3" s="6" t="s">
        <v>6</v>
      </c>
      <c r="G3" s="5">
        <v>4.9899998884648102</v>
      </c>
      <c r="H3" s="5">
        <v>1.1749999737367001</v>
      </c>
      <c r="I3" s="5">
        <v>4.2399999052286104</v>
      </c>
      <c r="J3" s="5">
        <v>3.8699999134987602</v>
      </c>
      <c r="K3" s="5">
        <v>22.700000338256402</v>
      </c>
      <c r="L3" s="5">
        <v>3.4000000506639498</v>
      </c>
      <c r="R3" s="182" t="s">
        <v>23</v>
      </c>
      <c r="S3" s="182"/>
      <c r="T3" s="182"/>
      <c r="V3" s="6" t="s">
        <v>36</v>
      </c>
      <c r="W3" s="6">
        <v>12</v>
      </c>
      <c r="X3" s="6">
        <v>21.9</v>
      </c>
      <c r="Y3" s="6">
        <v>2.19</v>
      </c>
      <c r="Z3" s="6">
        <v>94</v>
      </c>
      <c r="AA3" s="6">
        <v>14.54</v>
      </c>
      <c r="AB3" s="6">
        <v>1.8</v>
      </c>
    </row>
    <row r="4" spans="2:28" ht="15" thickTop="1" x14ac:dyDescent="0.3">
      <c r="B4" s="6" t="s">
        <v>22</v>
      </c>
      <c r="C4" s="11" t="s">
        <v>21</v>
      </c>
      <c r="D4" s="6"/>
      <c r="F4" s="2" t="s">
        <v>5</v>
      </c>
      <c r="G4" s="1">
        <v>5.9699998665600997</v>
      </c>
      <c r="H4" s="1">
        <v>1.3749999692663599</v>
      </c>
      <c r="I4" s="1">
        <v>4.3399999029934397</v>
      </c>
      <c r="J4" s="1">
        <v>4.6599998958408797</v>
      </c>
      <c r="K4" s="1">
        <v>27.400000408291799</v>
      </c>
      <c r="L4" s="1">
        <v>4.0000000596046403</v>
      </c>
      <c r="R4" s="6" t="s">
        <v>22</v>
      </c>
      <c r="S4" s="183" t="s">
        <v>21</v>
      </c>
      <c r="T4" s="183"/>
      <c r="V4" s="2" t="s">
        <v>37</v>
      </c>
      <c r="W4" s="2">
        <v>18</v>
      </c>
      <c r="X4" s="2">
        <v>33.82</v>
      </c>
      <c r="Y4" s="2">
        <v>3.3820000000000001</v>
      </c>
      <c r="Z4" s="2">
        <v>61</v>
      </c>
      <c r="AA4" s="2">
        <v>14.54</v>
      </c>
      <c r="AB4" s="2">
        <v>0.65</v>
      </c>
    </row>
    <row r="5" spans="2:28" x14ac:dyDescent="0.3">
      <c r="B5" s="2" t="s">
        <v>20</v>
      </c>
      <c r="C5" s="2">
        <v>-3</v>
      </c>
      <c r="D5" s="2" t="s">
        <v>16</v>
      </c>
      <c r="F5" s="2" t="s">
        <v>4</v>
      </c>
      <c r="G5" s="1">
        <v>7.8499998245388296</v>
      </c>
      <c r="H5" s="1">
        <v>1.7499999608844501</v>
      </c>
      <c r="I5" s="1">
        <v>4.4799998998642003</v>
      </c>
      <c r="J5" s="1">
        <v>6.1899998616427201</v>
      </c>
      <c r="K5" s="1">
        <v>36.400000542402303</v>
      </c>
      <c r="L5" s="1">
        <v>5.1000000759959203</v>
      </c>
      <c r="R5" s="2" t="s">
        <v>29</v>
      </c>
      <c r="S5" s="2">
        <v>26</v>
      </c>
      <c r="T5" s="2" t="s">
        <v>14</v>
      </c>
      <c r="V5" s="2" t="s">
        <v>38</v>
      </c>
      <c r="W5" s="2">
        <v>18</v>
      </c>
      <c r="X5" s="2">
        <v>54.04</v>
      </c>
      <c r="Y5" s="2">
        <v>5.4039999999999999</v>
      </c>
      <c r="Z5" s="2">
        <v>38</v>
      </c>
      <c r="AA5" s="2">
        <v>14.54</v>
      </c>
      <c r="AB5" s="2">
        <v>0.65</v>
      </c>
    </row>
    <row r="6" spans="2:28" x14ac:dyDescent="0.3">
      <c r="B6" s="2" t="s">
        <v>19</v>
      </c>
      <c r="C6" s="2">
        <v>38</v>
      </c>
      <c r="D6" s="2" t="s">
        <v>16</v>
      </c>
      <c r="F6" s="2" t="s">
        <v>3</v>
      </c>
      <c r="G6" s="1">
        <v>10.650000158697299</v>
      </c>
      <c r="H6" s="1">
        <v>2.27999994903803</v>
      </c>
      <c r="I6" s="1">
        <v>4.6599998958408797</v>
      </c>
      <c r="J6" s="1">
        <v>8.4899998102337104</v>
      </c>
      <c r="K6" s="1">
        <v>49.900000743567901</v>
      </c>
      <c r="L6" s="1">
        <v>6.9000001028180096</v>
      </c>
      <c r="R6" s="2" t="s">
        <v>20</v>
      </c>
      <c r="S6" s="2">
        <v>-5</v>
      </c>
      <c r="T6" s="2" t="s">
        <v>16</v>
      </c>
    </row>
    <row r="7" spans="2:28" x14ac:dyDescent="0.3">
      <c r="B7" s="2" t="s">
        <v>18</v>
      </c>
      <c r="C7" s="2">
        <v>5</v>
      </c>
      <c r="D7" s="2" t="s">
        <v>16</v>
      </c>
      <c r="F7" s="4" t="s">
        <v>0</v>
      </c>
      <c r="G7" s="3">
        <v>13.5500002019107</v>
      </c>
      <c r="H7" s="3">
        <v>2.8899999354034702</v>
      </c>
      <c r="I7" s="3">
        <v>4.6799998953938502</v>
      </c>
      <c r="J7" s="3">
        <v>10.8000001609325</v>
      </c>
      <c r="K7" s="3">
        <v>63.400000944733598</v>
      </c>
      <c r="L7" s="3">
        <v>8.9000001326203293</v>
      </c>
      <c r="R7" s="2" t="s">
        <v>27</v>
      </c>
      <c r="S7" s="2">
        <v>5</v>
      </c>
      <c r="T7" s="2" t="s">
        <v>16</v>
      </c>
    </row>
    <row r="8" spans="2:28" x14ac:dyDescent="0.3">
      <c r="B8" s="2" t="s">
        <v>17</v>
      </c>
      <c r="C8" s="2">
        <v>4</v>
      </c>
      <c r="D8" s="2" t="s">
        <v>16</v>
      </c>
      <c r="F8" s="2" t="s">
        <v>2</v>
      </c>
      <c r="G8" s="1">
        <v>18.000000268220901</v>
      </c>
      <c r="H8" s="1">
        <v>3.8999999128282101</v>
      </c>
      <c r="I8" s="1">
        <v>4.6199998967349503</v>
      </c>
      <c r="J8" s="1">
        <v>14.3000002130866</v>
      </c>
      <c r="K8" s="1">
        <v>84</v>
      </c>
      <c r="L8" s="1">
        <v>11.700000174343501</v>
      </c>
      <c r="R8" s="2" t="s">
        <v>19</v>
      </c>
      <c r="S8" s="2">
        <v>35</v>
      </c>
      <c r="T8" s="2" t="s">
        <v>16</v>
      </c>
    </row>
    <row r="9" spans="2:28" x14ac:dyDescent="0.3">
      <c r="B9" s="10" t="s">
        <v>15</v>
      </c>
      <c r="C9" s="9">
        <v>12.5</v>
      </c>
      <c r="D9" s="9" t="s">
        <v>14</v>
      </c>
      <c r="F9" s="2" t="s">
        <v>1</v>
      </c>
      <c r="G9" s="1">
        <v>22.400000333786</v>
      </c>
      <c r="H9" s="1">
        <v>4.7699998933821899</v>
      </c>
      <c r="I9" s="1">
        <v>4.69999989494681</v>
      </c>
      <c r="J9" s="1">
        <v>17.9000002667308</v>
      </c>
      <c r="K9" s="1">
        <v>105</v>
      </c>
      <c r="L9" s="1">
        <v>14.700000219047</v>
      </c>
      <c r="R9" s="2" t="s">
        <v>17</v>
      </c>
      <c r="S9" s="2">
        <v>4</v>
      </c>
      <c r="T9" s="2" t="s">
        <v>16</v>
      </c>
    </row>
    <row r="11" spans="2:28" ht="15" thickBot="1" x14ac:dyDescent="0.35">
      <c r="N11" s="182" t="s">
        <v>23</v>
      </c>
      <c r="O11" s="182"/>
      <c r="P11" s="182"/>
    </row>
    <row r="12" spans="2:28" ht="15" thickTop="1" x14ac:dyDescent="0.3">
      <c r="N12" s="6" t="s">
        <v>22</v>
      </c>
      <c r="O12" s="184" t="s">
        <v>21</v>
      </c>
      <c r="P12" s="185"/>
    </row>
    <row r="13" spans="2:28" ht="30" customHeight="1" x14ac:dyDescent="0.3">
      <c r="N13" s="2" t="s">
        <v>24</v>
      </c>
      <c r="O13" s="186" t="s">
        <v>25</v>
      </c>
      <c r="P13" s="187"/>
    </row>
    <row r="14" spans="2:28" ht="15" thickBot="1" x14ac:dyDescent="0.35">
      <c r="N14" s="2" t="s">
        <v>26</v>
      </c>
      <c r="O14" s="2">
        <v>22</v>
      </c>
      <c r="P14" s="2" t="s">
        <v>14</v>
      </c>
      <c r="R14" s="182" t="s">
        <v>23</v>
      </c>
      <c r="S14" s="182"/>
      <c r="T14" s="182"/>
    </row>
    <row r="15" spans="2:28" ht="15" thickTop="1" x14ac:dyDescent="0.3">
      <c r="N15" s="2" t="s">
        <v>20</v>
      </c>
      <c r="O15" s="2">
        <v>-6</v>
      </c>
      <c r="P15" s="2" t="s">
        <v>16</v>
      </c>
      <c r="R15" s="6" t="s">
        <v>22</v>
      </c>
      <c r="S15" s="183" t="s">
        <v>21</v>
      </c>
      <c r="T15" s="183"/>
    </row>
    <row r="16" spans="2:28" x14ac:dyDescent="0.3">
      <c r="N16" s="2" t="s">
        <v>27</v>
      </c>
      <c r="O16" s="2">
        <v>5</v>
      </c>
      <c r="P16" s="2" t="s">
        <v>16</v>
      </c>
      <c r="R16" s="2" t="s">
        <v>29</v>
      </c>
      <c r="S16" s="2">
        <v>26</v>
      </c>
      <c r="T16" s="2" t="s">
        <v>14</v>
      </c>
    </row>
    <row r="17" spans="14:20" x14ac:dyDescent="0.3">
      <c r="N17" s="2" t="s">
        <v>129</v>
      </c>
      <c r="O17" s="2">
        <v>0</v>
      </c>
      <c r="P17" s="2" t="s">
        <v>16</v>
      </c>
      <c r="R17" s="2" t="s">
        <v>20</v>
      </c>
      <c r="S17" s="2">
        <v>-5</v>
      </c>
      <c r="T17" s="2" t="s">
        <v>16</v>
      </c>
    </row>
    <row r="18" spans="14:20" x14ac:dyDescent="0.3">
      <c r="N18" s="12" t="s">
        <v>130</v>
      </c>
      <c r="O18" s="2">
        <v>1.5</v>
      </c>
      <c r="P18" s="2" t="s">
        <v>28</v>
      </c>
      <c r="R18" s="2" t="s">
        <v>27</v>
      </c>
      <c r="S18" s="2">
        <v>5</v>
      </c>
      <c r="T18" s="2" t="s">
        <v>16</v>
      </c>
    </row>
    <row r="19" spans="14:20" x14ac:dyDescent="0.3">
      <c r="R19" s="2" t="s">
        <v>19</v>
      </c>
      <c r="S19" s="2">
        <v>35</v>
      </c>
      <c r="T19" s="2" t="s">
        <v>16</v>
      </c>
    </row>
    <row r="20" spans="14:20" x14ac:dyDescent="0.3">
      <c r="R20" s="2" t="s">
        <v>17</v>
      </c>
      <c r="S20" s="2">
        <v>4</v>
      </c>
      <c r="T20" s="2" t="s">
        <v>16</v>
      </c>
    </row>
    <row r="21" spans="14:20" ht="15" thickBot="1" x14ac:dyDescent="0.35">
      <c r="N21" s="182" t="s">
        <v>140</v>
      </c>
      <c r="O21" s="182"/>
      <c r="P21" s="182"/>
    </row>
    <row r="22" spans="14:20" ht="15" thickTop="1" x14ac:dyDescent="0.3">
      <c r="N22" s="6" t="s">
        <v>22</v>
      </c>
      <c r="O22" s="184" t="s">
        <v>21</v>
      </c>
      <c r="P22" s="185"/>
    </row>
    <row r="23" spans="14:20" x14ac:dyDescent="0.3">
      <c r="N23" s="2" t="s">
        <v>137</v>
      </c>
      <c r="O23" s="186" t="s">
        <v>136</v>
      </c>
      <c r="P23" s="187"/>
    </row>
    <row r="24" spans="14:20" x14ac:dyDescent="0.3">
      <c r="N24" s="2" t="s">
        <v>26</v>
      </c>
      <c r="O24" s="2">
        <v>26</v>
      </c>
      <c r="P24" s="2" t="s">
        <v>14</v>
      </c>
    </row>
    <row r="25" spans="14:20" x14ac:dyDescent="0.3">
      <c r="N25" s="2" t="s">
        <v>19</v>
      </c>
      <c r="O25" s="2">
        <v>42</v>
      </c>
      <c r="P25" s="2" t="s">
        <v>16</v>
      </c>
    </row>
    <row r="26" spans="14:20" x14ac:dyDescent="0.3">
      <c r="N26" s="2" t="s">
        <v>17</v>
      </c>
      <c r="O26" s="2">
        <v>4</v>
      </c>
      <c r="P26" s="2" t="s">
        <v>16</v>
      </c>
    </row>
    <row r="27" spans="14:20" x14ac:dyDescent="0.3">
      <c r="N27" s="2" t="s">
        <v>138</v>
      </c>
      <c r="O27" s="2">
        <v>30</v>
      </c>
      <c r="P27" s="2" t="s">
        <v>16</v>
      </c>
    </row>
    <row r="28" spans="14:20" x14ac:dyDescent="0.3">
      <c r="N28" s="12" t="s">
        <v>139</v>
      </c>
      <c r="O28" s="2">
        <v>1.5</v>
      </c>
      <c r="P28" s="2" t="s">
        <v>28</v>
      </c>
    </row>
  </sheetData>
  <mergeCells count="11">
    <mergeCell ref="B3:D3"/>
    <mergeCell ref="N11:P11"/>
    <mergeCell ref="O12:P12"/>
    <mergeCell ref="O13:P13"/>
    <mergeCell ref="R3:T3"/>
    <mergeCell ref="S4:T4"/>
    <mergeCell ref="R14:T14"/>
    <mergeCell ref="S15:T15"/>
    <mergeCell ref="N21:P21"/>
    <mergeCell ref="O22:P22"/>
    <mergeCell ref="O23:P23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R36"/>
  <sheetViews>
    <sheetView tabSelected="1" topLeftCell="D1" zoomScaleNormal="100" workbookViewId="0">
      <selection activeCell="C16" sqref="C16"/>
    </sheetView>
  </sheetViews>
  <sheetFormatPr defaultRowHeight="14.4" x14ac:dyDescent="0.3"/>
  <cols>
    <col min="1" max="1" width="25.88671875" bestFit="1" customWidth="1"/>
    <col min="2" max="2" width="7.33203125" customWidth="1"/>
    <col min="3" max="3" width="4.6640625" customWidth="1"/>
    <col min="5" max="5" width="4.109375" bestFit="1" customWidth="1"/>
    <col min="6" max="6" width="4" bestFit="1" customWidth="1"/>
    <col min="7" max="7" width="9.77734375" customWidth="1"/>
    <col min="8" max="8" width="6.88671875" customWidth="1"/>
    <col min="9" max="9" width="7.5546875" customWidth="1"/>
    <col min="10" max="10" width="15.6640625" customWidth="1"/>
    <col min="11" max="11" width="7" customWidth="1"/>
    <col min="12" max="12" width="8.33203125" customWidth="1"/>
    <col min="13" max="13" width="8.109375" customWidth="1"/>
    <col min="14" max="15" width="5.44140625" bestFit="1" customWidth="1"/>
    <col min="16" max="16" width="6.88671875" bestFit="1" customWidth="1"/>
    <col min="17" max="18" width="16.44140625" customWidth="1"/>
  </cols>
  <sheetData>
    <row r="1" spans="1:18" ht="28.8" x14ac:dyDescent="0.3">
      <c r="E1" s="16"/>
      <c r="F1" s="38" t="s">
        <v>41</v>
      </c>
      <c r="G1" s="39" t="s">
        <v>44</v>
      </c>
      <c r="H1" s="39" t="s">
        <v>45</v>
      </c>
      <c r="I1" s="39" t="s">
        <v>46</v>
      </c>
      <c r="J1" s="39" t="s">
        <v>189</v>
      </c>
      <c r="K1" s="39" t="s">
        <v>194</v>
      </c>
      <c r="L1" s="189" t="s">
        <v>135</v>
      </c>
      <c r="M1" s="189"/>
      <c r="N1" s="39" t="s">
        <v>191</v>
      </c>
      <c r="O1" s="39" t="s">
        <v>190</v>
      </c>
      <c r="P1" s="39" t="s">
        <v>47</v>
      </c>
      <c r="Q1" s="39" t="s">
        <v>48</v>
      </c>
      <c r="R1" s="39" t="s">
        <v>195</v>
      </c>
    </row>
    <row r="2" spans="1:18" ht="15" thickBot="1" x14ac:dyDescent="0.35">
      <c r="A2" s="182" t="s">
        <v>199</v>
      </c>
      <c r="B2" s="182"/>
      <c r="C2" s="182"/>
      <c r="D2" s="89"/>
      <c r="E2" s="2"/>
      <c r="F2" s="2" t="s">
        <v>42</v>
      </c>
      <c r="G2" s="2" t="s">
        <v>49</v>
      </c>
      <c r="H2" s="2" t="s">
        <v>51</v>
      </c>
      <c r="I2" s="2" t="s">
        <v>52</v>
      </c>
      <c r="J2" s="2"/>
      <c r="K2" s="2"/>
      <c r="L2" s="2"/>
      <c r="M2" s="2"/>
      <c r="N2" s="2"/>
      <c r="O2" s="2"/>
      <c r="P2" s="2"/>
      <c r="Q2" s="2" t="s">
        <v>54</v>
      </c>
      <c r="R2" s="2"/>
    </row>
    <row r="3" spans="1:18" ht="15.6" thickTop="1" thickBot="1" x14ac:dyDescent="0.35">
      <c r="A3" s="37" t="s">
        <v>200</v>
      </c>
      <c r="B3" s="183" t="s">
        <v>101</v>
      </c>
      <c r="C3" s="183"/>
      <c r="D3" s="89"/>
      <c r="E3" s="98"/>
      <c r="F3" s="98" t="s">
        <v>43</v>
      </c>
      <c r="G3" s="98" t="s">
        <v>16</v>
      </c>
      <c r="H3" s="98" t="s">
        <v>50</v>
      </c>
      <c r="I3" s="98" t="s">
        <v>14</v>
      </c>
      <c r="J3" s="98"/>
      <c r="K3" s="98"/>
      <c r="L3" s="98"/>
      <c r="M3" s="98"/>
      <c r="N3" s="98"/>
      <c r="O3" s="98"/>
      <c r="P3" s="98" t="s">
        <v>43</v>
      </c>
      <c r="Q3" s="98" t="s">
        <v>53</v>
      </c>
      <c r="R3" s="98" t="s">
        <v>53</v>
      </c>
    </row>
    <row r="4" spans="1:18" s="40" customFormat="1" ht="15" thickTop="1" x14ac:dyDescent="0.3">
      <c r="A4" s="12" t="s">
        <v>58</v>
      </c>
      <c r="B4" s="188" t="s">
        <v>59</v>
      </c>
      <c r="C4" s="188"/>
      <c r="D4" s="89"/>
      <c r="E4" s="95" t="s">
        <v>81</v>
      </c>
      <c r="F4" s="95">
        <v>21</v>
      </c>
      <c r="G4" s="95">
        <v>-10</v>
      </c>
      <c r="H4" s="95">
        <v>1</v>
      </c>
      <c r="I4" s="96">
        <v>24</v>
      </c>
      <c r="J4" s="96">
        <f>'částečné zatížení'!I14</f>
        <v>24.863</v>
      </c>
      <c r="K4" s="96">
        <v>6.1879999999999997</v>
      </c>
      <c r="L4" s="96">
        <v>0.23899999999999999</v>
      </c>
      <c r="M4" s="96">
        <v>0.153</v>
      </c>
      <c r="N4" s="97">
        <f>J4/(K4+L4+M4)</f>
        <v>3.7785714285714289</v>
      </c>
      <c r="O4" s="97">
        <f>I4/J4</f>
        <v>0.96528978803845078</v>
      </c>
      <c r="P4" s="97">
        <f>N4*O4/(0.9*O4+(1-0.9))</f>
        <v>3.7650329974182126</v>
      </c>
      <c r="Q4" s="96">
        <f t="shared" ref="Q4:Q30" si="0">I4*H4</f>
        <v>24</v>
      </c>
      <c r="R4" s="96">
        <f>I4*H4/P4</f>
        <v>6.3744461247637041</v>
      </c>
    </row>
    <row r="5" spans="1:18" x14ac:dyDescent="0.3">
      <c r="A5" s="12" t="s">
        <v>55</v>
      </c>
      <c r="B5" s="12">
        <v>-10</v>
      </c>
      <c r="C5" s="12" t="s">
        <v>16</v>
      </c>
      <c r="D5" s="89"/>
      <c r="E5" s="2"/>
      <c r="F5" s="2">
        <v>22</v>
      </c>
      <c r="G5" s="2">
        <v>-9</v>
      </c>
      <c r="H5" s="2">
        <v>25</v>
      </c>
      <c r="I5" s="1">
        <f t="shared" ref="I5:I16" si="1">I4-$B$8/26</f>
        <v>23.076923076923077</v>
      </c>
      <c r="J5" s="1">
        <f>J4+(J7-J4)/3</f>
        <v>24.881333333333334</v>
      </c>
      <c r="K5" s="1">
        <v>6.141</v>
      </c>
      <c r="L5" s="76">
        <v>0.23899999999999999</v>
      </c>
      <c r="M5" s="76">
        <v>0.153</v>
      </c>
      <c r="N5" s="56">
        <f>J5/(K5+L5+M5)</f>
        <v>3.808561661309251</v>
      </c>
      <c r="O5" s="56">
        <f t="shared" ref="O5:O30" si="2">I5/J5</f>
        <v>0.92747935843161178</v>
      </c>
      <c r="P5" s="56">
        <f>N5*O5/(0.9*O5+(1-0.9))</f>
        <v>3.7790131376952636</v>
      </c>
      <c r="Q5" s="1">
        <f t="shared" si="0"/>
        <v>576.92307692307691</v>
      </c>
      <c r="R5" s="76">
        <f>I5*H5/P5</f>
        <v>152.66500959425866</v>
      </c>
    </row>
    <row r="6" spans="1:18" x14ac:dyDescent="0.3">
      <c r="A6" s="12" t="s">
        <v>40</v>
      </c>
      <c r="B6" s="12">
        <v>-10</v>
      </c>
      <c r="C6" s="12" t="s">
        <v>16</v>
      </c>
      <c r="D6" s="89"/>
      <c r="E6" s="2"/>
      <c r="F6" s="2">
        <v>23</v>
      </c>
      <c r="G6" s="2">
        <v>-8</v>
      </c>
      <c r="H6" s="2">
        <v>23</v>
      </c>
      <c r="I6" s="1">
        <f t="shared" si="1"/>
        <v>22.153846153846153</v>
      </c>
      <c r="J6" s="1">
        <f>J4+(J7-J4)/3*2</f>
        <v>24.899666666666665</v>
      </c>
      <c r="K6" s="1">
        <v>6.0949999999999998</v>
      </c>
      <c r="L6" s="76">
        <v>0.23899999999999999</v>
      </c>
      <c r="M6" s="76">
        <v>0.153</v>
      </c>
      <c r="N6" s="56">
        <f>J6/(K6+L6+M6)</f>
        <v>3.8383947381943377</v>
      </c>
      <c r="O6" s="56">
        <f t="shared" si="2"/>
        <v>0.88972460757892968</v>
      </c>
      <c r="P6" s="56">
        <f>N6*O6/(0.9*O6+(1-0.9))</f>
        <v>3.7914028450842068</v>
      </c>
      <c r="Q6" s="1">
        <f t="shared" si="0"/>
        <v>509.53846153846155</v>
      </c>
      <c r="R6" s="76">
        <f>I6*H6/P6</f>
        <v>134.39312105784546</v>
      </c>
    </row>
    <row r="7" spans="1:18" s="40" customFormat="1" x14ac:dyDescent="0.3">
      <c r="A7" s="12" t="s">
        <v>198</v>
      </c>
      <c r="B7" s="76">
        <v>24.86</v>
      </c>
      <c r="C7" s="12" t="s">
        <v>14</v>
      </c>
      <c r="D7" s="89"/>
      <c r="E7" s="91" t="s">
        <v>77</v>
      </c>
      <c r="F7" s="91">
        <v>24</v>
      </c>
      <c r="G7" s="91">
        <v>-7</v>
      </c>
      <c r="H7" s="91">
        <v>24</v>
      </c>
      <c r="I7" s="92">
        <f t="shared" si="1"/>
        <v>21.23076923076923</v>
      </c>
      <c r="J7" s="92">
        <f>'částečné zatížení'!I15</f>
        <v>24.917999999999999</v>
      </c>
      <c r="K7" s="92">
        <v>6.05</v>
      </c>
      <c r="L7" s="92">
        <v>0.23899999999999999</v>
      </c>
      <c r="M7" s="92">
        <v>0.153</v>
      </c>
      <c r="N7" s="93">
        <f>J7/(K7+L7+M7)</f>
        <v>3.8680533995653525</v>
      </c>
      <c r="O7" s="93">
        <f t="shared" si="2"/>
        <v>0.85202541258404485</v>
      </c>
      <c r="P7" s="93">
        <f>N7*O7/(0.9*O7+(1-0.9))</f>
        <v>3.8020221924020907</v>
      </c>
      <c r="Q7" s="92">
        <f t="shared" si="0"/>
        <v>509.53846153846155</v>
      </c>
      <c r="R7" s="92">
        <f>I7*H7/P7</f>
        <v>134.01775048991462</v>
      </c>
    </row>
    <row r="8" spans="1:18" x14ac:dyDescent="0.3">
      <c r="A8" s="12" t="s">
        <v>56</v>
      </c>
      <c r="B8" s="12">
        <v>24</v>
      </c>
      <c r="C8" s="12" t="s">
        <v>14</v>
      </c>
      <c r="D8" s="89"/>
      <c r="E8" s="2"/>
      <c r="F8" s="2">
        <v>25</v>
      </c>
      <c r="G8" s="2">
        <v>-6</v>
      </c>
      <c r="H8" s="2">
        <v>27</v>
      </c>
      <c r="I8" s="1">
        <f t="shared" si="1"/>
        <v>20.307692307692307</v>
      </c>
      <c r="J8" s="1">
        <f>$J$7+($J$16-$J$7)/9</f>
        <v>24.939777777777778</v>
      </c>
      <c r="K8" s="1">
        <v>5.9859999999999998</v>
      </c>
      <c r="L8" s="76">
        <v>0.23899999999999999</v>
      </c>
      <c r="M8" s="76">
        <v>0.153</v>
      </c>
      <c r="N8" s="56">
        <f>J8/(K8+L8+M8)</f>
        <v>3.9102818717117875</v>
      </c>
      <c r="O8" s="56">
        <f t="shared" si="2"/>
        <v>0.81426917627899542</v>
      </c>
      <c r="P8" s="56">
        <f>N8*O8/(0.9*O8+(1-0.9))</f>
        <v>3.8230792993794687</v>
      </c>
      <c r="Q8" s="1">
        <f t="shared" si="0"/>
        <v>548.30769230769226</v>
      </c>
      <c r="R8" s="76">
        <f>I8*H8/P8</f>
        <v>143.42043399327059</v>
      </c>
    </row>
    <row r="9" spans="1:18" x14ac:dyDescent="0.3">
      <c r="A9" s="12" t="s">
        <v>57</v>
      </c>
      <c r="B9" s="76">
        <v>24.86</v>
      </c>
      <c r="C9" s="12" t="s">
        <v>14</v>
      </c>
      <c r="E9" s="2"/>
      <c r="F9" s="2">
        <v>26</v>
      </c>
      <c r="G9" s="2">
        <v>-5</v>
      </c>
      <c r="H9" s="2">
        <v>68</v>
      </c>
      <c r="I9" s="1">
        <f t="shared" si="1"/>
        <v>19.384615384615383</v>
      </c>
      <c r="J9" s="1">
        <f>$J$7+($J$16-$J$7)/9*2</f>
        <v>24.961555555555556</v>
      </c>
      <c r="K9" s="1">
        <v>5.923</v>
      </c>
      <c r="L9" s="76">
        <v>0.23899999999999999</v>
      </c>
      <c r="M9" s="76">
        <v>0.153</v>
      </c>
      <c r="N9" s="56">
        <f t="shared" ref="N9:N26" si="3">J9/(K9+L9+M9)</f>
        <v>3.9527403888449024</v>
      </c>
      <c r="O9" s="56">
        <f t="shared" si="2"/>
        <v>0.77657882103830089</v>
      </c>
      <c r="P9" s="56">
        <f t="shared" ref="P9:P15" si="4">N9*O9/(0.9*O9+(1-0.9))</f>
        <v>3.8422005500739864</v>
      </c>
      <c r="Q9" s="1">
        <f t="shared" si="0"/>
        <v>1318.153846153846</v>
      </c>
      <c r="R9" s="76">
        <f t="shared" ref="R9:R15" si="5">I9*H9/P9</f>
        <v>343.07262959724039</v>
      </c>
    </row>
    <row r="10" spans="1:18" x14ac:dyDescent="0.3">
      <c r="A10" s="89"/>
      <c r="B10" s="89"/>
      <c r="C10" s="89"/>
      <c r="D10" s="89"/>
      <c r="E10" s="2"/>
      <c r="F10" s="2">
        <v>27</v>
      </c>
      <c r="G10" s="2">
        <v>-4</v>
      </c>
      <c r="H10" s="2">
        <v>91</v>
      </c>
      <c r="I10" s="1">
        <f t="shared" si="1"/>
        <v>18.46153846153846</v>
      </c>
      <c r="J10" s="1">
        <f>$J$7+($J$16-$J$7)/9*3</f>
        <v>24.983333333333334</v>
      </c>
      <c r="K10" s="1">
        <v>5.8620000000000001</v>
      </c>
      <c r="L10" s="76">
        <v>0.23899999999999999</v>
      </c>
      <c r="M10" s="76">
        <v>0.153</v>
      </c>
      <c r="N10" s="56">
        <f t="shared" si="3"/>
        <v>3.994776676260527</v>
      </c>
      <c r="O10" s="56">
        <f t="shared" si="2"/>
        <v>0.73895417457792367</v>
      </c>
      <c r="P10" s="56">
        <f t="shared" si="4"/>
        <v>3.8584708350259644</v>
      </c>
      <c r="Q10" s="1">
        <f t="shared" si="0"/>
        <v>1679.9999999999998</v>
      </c>
      <c r="R10" s="76">
        <f t="shared" si="5"/>
        <v>435.40564949966631</v>
      </c>
    </row>
    <row r="11" spans="1:18" x14ac:dyDescent="0.3">
      <c r="A11" s="89"/>
      <c r="B11" s="89"/>
      <c r="C11" s="89"/>
      <c r="D11" s="89"/>
      <c r="E11" s="2"/>
      <c r="F11" s="2">
        <v>28</v>
      </c>
      <c r="G11" s="2">
        <v>-3</v>
      </c>
      <c r="H11" s="2">
        <v>89</v>
      </c>
      <c r="I11" s="1">
        <f t="shared" si="1"/>
        <v>17.538461538461537</v>
      </c>
      <c r="J11" s="1">
        <f>$J$7+($J$16-$J$7)/9*4</f>
        <v>25.005111111111113</v>
      </c>
      <c r="K11" s="1">
        <v>5.8029999999999999</v>
      </c>
      <c r="L11" s="76">
        <v>0.23899999999999999</v>
      </c>
      <c r="M11" s="76">
        <v>0.153</v>
      </c>
      <c r="N11" s="56">
        <f t="shared" si="3"/>
        <v>4.0363375482019554</v>
      </c>
      <c r="O11" s="56">
        <f t="shared" si="2"/>
        <v>0.70139506521401762</v>
      </c>
      <c r="P11" s="56">
        <f t="shared" si="4"/>
        <v>3.8715155108132877</v>
      </c>
      <c r="Q11" s="1">
        <f t="shared" si="0"/>
        <v>1560.9230769230767</v>
      </c>
      <c r="R11" s="76">
        <f t="shared" si="5"/>
        <v>403.18140856296719</v>
      </c>
    </row>
    <row r="12" spans="1:18" x14ac:dyDescent="0.3">
      <c r="A12" s="89"/>
      <c r="B12" s="89"/>
      <c r="C12" s="89"/>
      <c r="D12" s="89"/>
      <c r="E12" s="2"/>
      <c r="F12" s="2">
        <v>29</v>
      </c>
      <c r="G12" s="2">
        <v>-2</v>
      </c>
      <c r="H12" s="2">
        <v>165</v>
      </c>
      <c r="I12" s="1">
        <f t="shared" si="1"/>
        <v>16.615384615384613</v>
      </c>
      <c r="J12" s="1">
        <f>$J$7+($J$16-$J$7)/9*5</f>
        <v>25.026888888888887</v>
      </c>
      <c r="K12" s="1">
        <v>5.7439999999999998</v>
      </c>
      <c r="L12" s="76">
        <v>0.23899999999999999</v>
      </c>
      <c r="M12" s="76">
        <v>0.153</v>
      </c>
      <c r="N12" s="56">
        <f t="shared" si="3"/>
        <v>4.0786976676807187</v>
      </c>
      <c r="O12" s="56">
        <f t="shared" si="2"/>
        <v>0.66390132186031703</v>
      </c>
      <c r="P12" s="56">
        <f t="shared" si="4"/>
        <v>3.8821639181248107</v>
      </c>
      <c r="Q12" s="1">
        <f t="shared" si="0"/>
        <v>2741.538461538461</v>
      </c>
      <c r="R12" s="76">
        <f t="shared" si="5"/>
        <v>706.18822887383328</v>
      </c>
    </row>
    <row r="13" spans="1:18" x14ac:dyDescent="0.3">
      <c r="A13" s="89"/>
      <c r="B13" s="89"/>
      <c r="C13" s="89"/>
      <c r="D13" s="89"/>
      <c r="E13" s="2"/>
      <c r="F13" s="2">
        <v>30</v>
      </c>
      <c r="G13" s="2">
        <v>-1</v>
      </c>
      <c r="H13" s="2">
        <v>173</v>
      </c>
      <c r="I13" s="1">
        <f t="shared" si="1"/>
        <v>15.69230769230769</v>
      </c>
      <c r="J13" s="1">
        <f>$J$7+($J$16-$J$7)/9*6</f>
        <v>25.048666666666666</v>
      </c>
      <c r="K13" s="1">
        <v>5.6870000000000003</v>
      </c>
      <c r="L13" s="76">
        <v>0.23899999999999999</v>
      </c>
      <c r="M13" s="76">
        <v>0.153</v>
      </c>
      <c r="N13" s="56">
        <f t="shared" si="3"/>
        <v>4.1205242090256071</v>
      </c>
      <c r="O13" s="56">
        <f t="shared" si="2"/>
        <v>0.62647277402553792</v>
      </c>
      <c r="P13" s="56">
        <f t="shared" si="4"/>
        <v>3.8886668933322803</v>
      </c>
      <c r="Q13" s="1">
        <f t="shared" si="0"/>
        <v>2714.7692307692305</v>
      </c>
      <c r="R13" s="76">
        <f t="shared" si="5"/>
        <v>698.1233685570038</v>
      </c>
    </row>
    <row r="14" spans="1:18" x14ac:dyDescent="0.3">
      <c r="A14" s="89"/>
      <c r="B14" s="89"/>
      <c r="C14" s="89"/>
      <c r="D14" s="89"/>
      <c r="E14" s="2"/>
      <c r="F14" s="2">
        <v>31</v>
      </c>
      <c r="G14" s="2">
        <v>0</v>
      </c>
      <c r="H14" s="2">
        <v>240</v>
      </c>
      <c r="I14" s="1">
        <f t="shared" si="1"/>
        <v>14.769230769230766</v>
      </c>
      <c r="J14" s="1">
        <f>$J$7+($J$16-$J$7)/9*7</f>
        <v>25.070444444444444</v>
      </c>
      <c r="K14" s="1">
        <v>5.6310000000000002</v>
      </c>
      <c r="L14" s="76">
        <v>0.23899999999999999</v>
      </c>
      <c r="M14" s="76">
        <v>0.153</v>
      </c>
      <c r="N14" s="56">
        <f t="shared" si="3"/>
        <v>4.1624513439223714</v>
      </c>
      <c r="O14" s="56">
        <f t="shared" si="2"/>
        <v>0.58910925181079488</v>
      </c>
      <c r="P14" s="56">
        <f t="shared" si="4"/>
        <v>3.8910585656914076</v>
      </c>
      <c r="Q14" s="1">
        <f t="shared" si="0"/>
        <v>3544.6153846153838</v>
      </c>
      <c r="R14" s="76">
        <f t="shared" si="5"/>
        <v>910.96428510978637</v>
      </c>
    </row>
    <row r="15" spans="1:18" x14ac:dyDescent="0.3">
      <c r="A15" s="89"/>
      <c r="B15" s="89"/>
      <c r="C15" s="89"/>
      <c r="D15" s="89"/>
      <c r="E15" s="2"/>
      <c r="F15" s="2">
        <v>32</v>
      </c>
      <c r="G15" s="2">
        <v>1</v>
      </c>
      <c r="H15" s="2">
        <v>280</v>
      </c>
      <c r="I15" s="1">
        <f t="shared" si="1"/>
        <v>13.846153846153843</v>
      </c>
      <c r="J15" s="1">
        <f>$J$7+($J$16-$J$7)/9*8</f>
        <v>25.092222222222222</v>
      </c>
      <c r="K15" s="1">
        <v>5.577</v>
      </c>
      <c r="L15" s="76">
        <v>0.23899999999999999</v>
      </c>
      <c r="M15" s="76">
        <v>0.153</v>
      </c>
      <c r="N15" s="56">
        <f t="shared" si="3"/>
        <v>4.2037564453379499</v>
      </c>
      <c r="O15" s="56">
        <f t="shared" si="2"/>
        <v>0.55181058590703003</v>
      </c>
      <c r="P15" s="56">
        <f t="shared" si="4"/>
        <v>3.8879693359234602</v>
      </c>
      <c r="Q15" s="1">
        <f t="shared" si="0"/>
        <v>3876.9230769230762</v>
      </c>
      <c r="R15" s="76">
        <f t="shared" si="5"/>
        <v>997.15886159432364</v>
      </c>
    </row>
    <row r="16" spans="1:18" s="40" customFormat="1" x14ac:dyDescent="0.3">
      <c r="A16" s="89"/>
      <c r="B16" s="89"/>
      <c r="C16" s="89"/>
      <c r="D16" s="89"/>
      <c r="E16" s="91" t="s">
        <v>196</v>
      </c>
      <c r="F16" s="91">
        <v>33</v>
      </c>
      <c r="G16" s="91">
        <v>2</v>
      </c>
      <c r="H16" s="91">
        <v>320</v>
      </c>
      <c r="I16" s="92">
        <f t="shared" si="1"/>
        <v>12.92307692307692</v>
      </c>
      <c r="J16" s="92">
        <f>'částečné zatížení'!I16</f>
        <v>25.114000000000001</v>
      </c>
      <c r="K16" s="92">
        <v>5.5229999999999997</v>
      </c>
      <c r="L16" s="92">
        <v>0.23899999999999999</v>
      </c>
      <c r="M16" s="92">
        <v>0.153</v>
      </c>
      <c r="N16" s="93">
        <f>J16/(K16+L16+M16)</f>
        <v>4.2458157227388007</v>
      </c>
      <c r="O16" s="93">
        <f t="shared" si="2"/>
        <v>0.51457660759245516</v>
      </c>
      <c r="P16" s="93">
        <f>N16*O16/(0.9*O16+(1-0.9))</f>
        <v>3.8798152030866691</v>
      </c>
      <c r="Q16" s="92">
        <f t="shared" si="0"/>
        <v>4135.3846153846143</v>
      </c>
      <c r="R16" s="92">
        <f>I16*H16/P16</f>
        <v>1065.8715425658988</v>
      </c>
    </row>
    <row r="17" spans="1:18" s="40" customFormat="1" x14ac:dyDescent="0.3">
      <c r="A17" s="89"/>
      <c r="B17" s="89"/>
      <c r="C17" s="89"/>
      <c r="D17" s="89"/>
      <c r="E17" s="91" t="s">
        <v>197</v>
      </c>
      <c r="F17" s="91">
        <v>33</v>
      </c>
      <c r="G17" s="91">
        <v>2</v>
      </c>
      <c r="H17" s="91">
        <v>320</v>
      </c>
      <c r="I17" s="92">
        <f>I16</f>
        <v>12.92307692307692</v>
      </c>
      <c r="J17" s="92">
        <f>'částečné zatížení'!I6</f>
        <v>13.287000000000001</v>
      </c>
      <c r="K17" s="92">
        <v>2.6520000000000001</v>
      </c>
      <c r="L17" s="92">
        <v>0.127</v>
      </c>
      <c r="M17" s="92">
        <v>7.0000000000000007E-2</v>
      </c>
      <c r="N17" s="93">
        <f>J17/(K17+L17+M17)</f>
        <v>4.6637416637416642</v>
      </c>
      <c r="O17" s="93">
        <f t="shared" ref="O17" si="6">I17/J17</f>
        <v>0.97261059103461422</v>
      </c>
      <c r="P17" s="93">
        <f>N17*O17/(0.9*O17+(1-0.9))</f>
        <v>4.6506451149091435</v>
      </c>
      <c r="Q17" s="92">
        <f t="shared" ref="Q17" si="7">I17*H17</f>
        <v>4135.3846153846143</v>
      </c>
      <c r="R17" s="92">
        <f>I17*H17/P17</f>
        <v>889.20666127099332</v>
      </c>
    </row>
    <row r="18" spans="1:18" x14ac:dyDescent="0.3">
      <c r="A18" s="89"/>
      <c r="B18" s="89"/>
      <c r="C18" s="89"/>
      <c r="D18" s="89"/>
      <c r="E18" s="2"/>
      <c r="F18" s="2">
        <v>34</v>
      </c>
      <c r="G18" s="2">
        <v>3</v>
      </c>
      <c r="H18" s="2">
        <v>357</v>
      </c>
      <c r="I18" s="1">
        <f t="shared" ref="I18:I30" si="8">I17-$B$8/26</f>
        <v>11.999999999999996</v>
      </c>
      <c r="J18" s="1">
        <f>$J$17+($J$22-$J$17)/5</f>
        <v>13.3124</v>
      </c>
      <c r="K18" s="1">
        <v>2.6179999999999999</v>
      </c>
      <c r="L18" s="1">
        <v>0.127</v>
      </c>
      <c r="M18" s="1">
        <v>7.0000000000000007E-2</v>
      </c>
      <c r="N18" s="56">
        <f t="shared" si="3"/>
        <v>4.729094138543517</v>
      </c>
      <c r="O18" s="56">
        <f t="shared" si="2"/>
        <v>0.90141522189838019</v>
      </c>
      <c r="P18" s="56">
        <f>N18*O18/(0.9*O18+(1-0.9))</f>
        <v>4.6779331430688211</v>
      </c>
      <c r="Q18" s="1">
        <f t="shared" si="0"/>
        <v>4283.9999999999991</v>
      </c>
      <c r="R18" s="76">
        <f>I18*H18/P18</f>
        <v>915.78906089059797</v>
      </c>
    </row>
    <row r="19" spans="1:18" x14ac:dyDescent="0.3">
      <c r="A19" s="89"/>
      <c r="B19" s="89"/>
      <c r="C19" s="89"/>
      <c r="D19" s="89"/>
      <c r="E19" s="2"/>
      <c r="F19" s="2">
        <v>35</v>
      </c>
      <c r="G19" s="2">
        <v>4</v>
      </c>
      <c r="H19" s="2">
        <v>356</v>
      </c>
      <c r="I19" s="1">
        <f t="shared" si="8"/>
        <v>11.076923076923073</v>
      </c>
      <c r="J19" s="1">
        <f>$J$17+($J$22-$J$17)/5*2</f>
        <v>13.3378</v>
      </c>
      <c r="K19" s="1">
        <v>2.5840000000000001</v>
      </c>
      <c r="L19" s="1">
        <v>0.127</v>
      </c>
      <c r="M19" s="1">
        <v>7.0000000000000007E-2</v>
      </c>
      <c r="N19" s="56">
        <f t="shared" si="3"/>
        <v>4.7960445882775975</v>
      </c>
      <c r="O19" s="56">
        <f t="shared" si="2"/>
        <v>0.83049101627877708</v>
      </c>
      <c r="P19" s="56">
        <f t="shared" ref="P19:P21" si="9">N19*O19/(0.9*O19+(1-0.9))</f>
        <v>4.7001120376230192</v>
      </c>
      <c r="Q19" s="1">
        <f t="shared" si="0"/>
        <v>3943.3846153846139</v>
      </c>
      <c r="R19" s="76">
        <f t="shared" ref="R19:R21" si="10">I19*H19/P19</f>
        <v>838.99800341331775</v>
      </c>
    </row>
    <row r="20" spans="1:18" x14ac:dyDescent="0.3">
      <c r="A20" s="89"/>
      <c r="B20" s="89"/>
      <c r="C20" s="89"/>
      <c r="D20" s="89"/>
      <c r="E20" s="2"/>
      <c r="F20" s="2">
        <v>36</v>
      </c>
      <c r="G20" s="2">
        <v>5</v>
      </c>
      <c r="H20" s="2">
        <v>303</v>
      </c>
      <c r="I20" s="1">
        <f t="shared" si="8"/>
        <v>10.15384615384615</v>
      </c>
      <c r="J20" s="1">
        <f>$J$17+($J$22-$J$17)/5*3</f>
        <v>13.363200000000001</v>
      </c>
      <c r="K20" s="1">
        <v>2.5499999999999998</v>
      </c>
      <c r="L20" s="1">
        <v>0.127</v>
      </c>
      <c r="M20" s="1">
        <v>7.0000000000000007E-2</v>
      </c>
      <c r="N20" s="56">
        <f t="shared" si="3"/>
        <v>4.8646523480160191</v>
      </c>
      <c r="O20" s="56">
        <f t="shared" si="2"/>
        <v>0.75983642793987582</v>
      </c>
      <c r="P20" s="56">
        <f t="shared" si="9"/>
        <v>4.7156049367074333</v>
      </c>
      <c r="Q20" s="1">
        <f t="shared" si="0"/>
        <v>3076.6153846153834</v>
      </c>
      <c r="R20" s="76">
        <f t="shared" si="10"/>
        <v>652.43281104111361</v>
      </c>
    </row>
    <row r="21" spans="1:18" x14ac:dyDescent="0.3">
      <c r="A21" s="89"/>
      <c r="B21" s="89"/>
      <c r="C21" s="89"/>
      <c r="D21" s="89"/>
      <c r="E21" s="2"/>
      <c r="F21" s="2">
        <v>37</v>
      </c>
      <c r="G21" s="2">
        <v>6</v>
      </c>
      <c r="H21" s="2">
        <v>330</v>
      </c>
      <c r="I21" s="1">
        <f t="shared" si="8"/>
        <v>9.2307692307692264</v>
      </c>
      <c r="J21" s="1">
        <f>$J$17+($J$22-$J$17)/5*4</f>
        <v>13.3886</v>
      </c>
      <c r="K21" s="1">
        <v>2.5169999999999999</v>
      </c>
      <c r="L21" s="1">
        <v>0.127</v>
      </c>
      <c r="M21" s="1">
        <v>7.0000000000000007E-2</v>
      </c>
      <c r="N21" s="56">
        <f t="shared" si="3"/>
        <v>4.9331613854089902</v>
      </c>
      <c r="O21" s="56">
        <f t="shared" si="2"/>
        <v>0.68944992237942926</v>
      </c>
      <c r="P21" s="56">
        <f t="shared" si="9"/>
        <v>4.7205336035487431</v>
      </c>
      <c r="Q21" s="1">
        <f t="shared" si="0"/>
        <v>3046.1538461538448</v>
      </c>
      <c r="R21" s="76">
        <f t="shared" si="10"/>
        <v>645.29862553331805</v>
      </c>
    </row>
    <row r="22" spans="1:18" s="40" customFormat="1" x14ac:dyDescent="0.3">
      <c r="A22" s="89"/>
      <c r="B22" s="89"/>
      <c r="C22" s="89"/>
      <c r="D22" s="89"/>
      <c r="E22" s="91" t="s">
        <v>79</v>
      </c>
      <c r="F22" s="91">
        <v>38</v>
      </c>
      <c r="G22" s="91">
        <v>7</v>
      </c>
      <c r="H22" s="91">
        <v>326</v>
      </c>
      <c r="I22" s="92">
        <f t="shared" si="8"/>
        <v>8.307692307692303</v>
      </c>
      <c r="J22" s="92">
        <f>'částečné zatížení'!I7</f>
        <v>13.414</v>
      </c>
      <c r="K22" s="92">
        <v>2.4830000000000001</v>
      </c>
      <c r="L22" s="92">
        <v>0.127</v>
      </c>
      <c r="M22" s="92">
        <v>7.0000000000000007E-2</v>
      </c>
      <c r="N22" s="93">
        <f>J22/(K22+L22+M22)</f>
        <v>5.0052238805970148</v>
      </c>
      <c r="O22" s="93">
        <f t="shared" si="2"/>
        <v>0.61932997671778012</v>
      </c>
      <c r="P22" s="93">
        <f>N22*O22/(0.9*O22+(1-0.9))</f>
        <v>4.7153931159463207</v>
      </c>
      <c r="Q22" s="92">
        <f t="shared" si="0"/>
        <v>2708.307692307691</v>
      </c>
      <c r="R22" s="92">
        <f>I22*H22/P22</f>
        <v>574.35459265291126</v>
      </c>
    </row>
    <row r="23" spans="1:18" x14ac:dyDescent="0.3">
      <c r="A23" s="89"/>
      <c r="B23" s="89"/>
      <c r="C23" s="89"/>
      <c r="D23" s="89"/>
      <c r="E23" s="2"/>
      <c r="F23" s="2">
        <v>39</v>
      </c>
      <c r="G23" s="2">
        <v>8</v>
      </c>
      <c r="H23" s="2">
        <v>348</v>
      </c>
      <c r="I23" s="1">
        <f t="shared" si="8"/>
        <v>7.3846153846153797</v>
      </c>
      <c r="J23" s="1">
        <f>$J$22+($J$27-$J$22)/5</f>
        <v>13.4398</v>
      </c>
      <c r="K23" s="1">
        <v>2.4500000000000002</v>
      </c>
      <c r="L23" s="1">
        <v>0.127</v>
      </c>
      <c r="M23" s="1">
        <v>7.0000000000000007E-2</v>
      </c>
      <c r="N23" s="56">
        <f t="shared" si="3"/>
        <v>5.0773706082357393</v>
      </c>
      <c r="O23" s="56">
        <f t="shared" si="2"/>
        <v>0.54945872591968481</v>
      </c>
      <c r="P23" s="56">
        <f>N23*O23/(0.9*O23+(1-0.9))</f>
        <v>4.6925908662994473</v>
      </c>
      <c r="Q23" s="1">
        <f t="shared" si="0"/>
        <v>2569.846153846152</v>
      </c>
      <c r="R23" s="76">
        <f>I23*H23/P23</f>
        <v>547.63908191994574</v>
      </c>
    </row>
    <row r="24" spans="1:18" x14ac:dyDescent="0.3">
      <c r="A24" s="89"/>
      <c r="B24" s="89"/>
      <c r="C24" s="89"/>
      <c r="D24" s="89"/>
      <c r="E24" s="2"/>
      <c r="F24" s="2">
        <v>40</v>
      </c>
      <c r="G24" s="2">
        <v>9</v>
      </c>
      <c r="H24" s="2">
        <v>335</v>
      </c>
      <c r="I24" s="1">
        <f t="shared" si="8"/>
        <v>6.4615384615384563</v>
      </c>
      <c r="J24" s="1">
        <f>$J$22+($J$27-$J$22)/5*2</f>
        <v>13.4656</v>
      </c>
      <c r="K24" s="1">
        <v>2.4169999999999998</v>
      </c>
      <c r="L24" s="1">
        <v>0.127</v>
      </c>
      <c r="M24" s="1">
        <v>7.0000000000000007E-2</v>
      </c>
      <c r="N24" s="56">
        <f t="shared" si="3"/>
        <v>5.1513389441469029</v>
      </c>
      <c r="O24" s="56">
        <f t="shared" si="2"/>
        <v>0.4798552208248022</v>
      </c>
      <c r="P24" s="56">
        <f t="shared" ref="P24:P26" si="11">N24*O24/(0.9*O24+(1-0.9))</f>
        <v>4.6475610331480643</v>
      </c>
      <c r="Q24" s="1">
        <f t="shared" si="0"/>
        <v>2164.6153846153829</v>
      </c>
      <c r="R24" s="76">
        <f t="shared" ref="R24:R26" si="12">I24*H24/P24</f>
        <v>465.75297649166373</v>
      </c>
    </row>
    <row r="25" spans="1:18" x14ac:dyDescent="0.3">
      <c r="A25" s="89"/>
      <c r="B25" s="89"/>
      <c r="C25" s="89"/>
      <c r="D25" s="89"/>
      <c r="E25" s="2"/>
      <c r="F25" s="2">
        <v>41</v>
      </c>
      <c r="G25" s="2">
        <v>10</v>
      </c>
      <c r="H25" s="2">
        <v>315</v>
      </c>
      <c r="I25" s="1">
        <f t="shared" si="8"/>
        <v>5.538461538461533</v>
      </c>
      <c r="J25" s="1">
        <f>$J$22+($J$27-$J$22)/5*3</f>
        <v>13.491399999999999</v>
      </c>
      <c r="K25" s="1">
        <v>2.3860000000000001</v>
      </c>
      <c r="L25" s="1">
        <v>0.127</v>
      </c>
      <c r="M25" s="1">
        <v>7.0000000000000007E-2</v>
      </c>
      <c r="N25" s="56">
        <f t="shared" si="3"/>
        <v>5.2231513743708868</v>
      </c>
      <c r="O25" s="56">
        <f t="shared" si="2"/>
        <v>0.41051792537924409</v>
      </c>
      <c r="P25" s="56">
        <f t="shared" si="11"/>
        <v>4.5673097932992457</v>
      </c>
      <c r="Q25" s="1">
        <f t="shared" si="0"/>
        <v>1744.6153846153829</v>
      </c>
      <c r="R25" s="76">
        <f t="shared" si="12"/>
        <v>381.97877165567547</v>
      </c>
    </row>
    <row r="26" spans="1:18" x14ac:dyDescent="0.3">
      <c r="A26" s="89"/>
      <c r="B26" s="89"/>
      <c r="C26" s="89"/>
      <c r="D26" s="89"/>
      <c r="E26" s="2"/>
      <c r="F26" s="2">
        <v>42</v>
      </c>
      <c r="G26" s="2">
        <v>11</v>
      </c>
      <c r="H26" s="2">
        <v>215</v>
      </c>
      <c r="I26" s="1">
        <f t="shared" si="8"/>
        <v>4.6153846153846096</v>
      </c>
      <c r="J26" s="1">
        <f>$J$22+($J$27-$J$22)/5*4</f>
        <v>13.517199999999999</v>
      </c>
      <c r="K26" s="1">
        <v>2.3559999999999999</v>
      </c>
      <c r="L26" s="1">
        <v>0.127</v>
      </c>
      <c r="M26" s="1">
        <v>7.0000000000000007E-2</v>
      </c>
      <c r="N26" s="56">
        <f t="shared" si="3"/>
        <v>5.2946337641989825</v>
      </c>
      <c r="O26" s="56">
        <f t="shared" si="2"/>
        <v>0.34144531525645916</v>
      </c>
      <c r="P26" s="56">
        <f t="shared" si="11"/>
        <v>4.4385573684022557</v>
      </c>
      <c r="Q26" s="1">
        <f t="shared" si="0"/>
        <v>992.30769230769113</v>
      </c>
      <c r="R26" s="76">
        <f t="shared" si="12"/>
        <v>223.56536368592469</v>
      </c>
    </row>
    <row r="27" spans="1:18" s="40" customFormat="1" x14ac:dyDescent="0.3">
      <c r="A27" s="89"/>
      <c r="B27" s="89"/>
      <c r="C27" s="89"/>
      <c r="D27" s="89"/>
      <c r="E27" s="91" t="s">
        <v>80</v>
      </c>
      <c r="F27" s="91">
        <v>43</v>
      </c>
      <c r="G27" s="91">
        <v>12</v>
      </c>
      <c r="H27" s="91">
        <v>169</v>
      </c>
      <c r="I27" s="92">
        <f t="shared" si="8"/>
        <v>3.6923076923076863</v>
      </c>
      <c r="J27" s="92">
        <f>'částečné zatížení'!I8</f>
        <v>13.542999999999999</v>
      </c>
      <c r="K27" s="92">
        <v>2.327</v>
      </c>
      <c r="L27" s="92">
        <v>0.127</v>
      </c>
      <c r="M27" s="92">
        <v>7.0000000000000007E-2</v>
      </c>
      <c r="N27" s="93">
        <f>J27/(K27+L27+M27)</f>
        <v>5.3656893819334393</v>
      </c>
      <c r="O27" s="93">
        <f t="shared" si="2"/>
        <v>0.27263587774552805</v>
      </c>
      <c r="P27" s="93">
        <f>N27*O27/(0.9*O27+(1-0.9))</f>
        <v>4.2356595385119693</v>
      </c>
      <c r="Q27" s="92">
        <f t="shared" si="0"/>
        <v>623.99999999999898</v>
      </c>
      <c r="R27" s="92">
        <f>I27*H27/P27</f>
        <v>147.3206225208593</v>
      </c>
    </row>
    <row r="28" spans="1:18" x14ac:dyDescent="0.3">
      <c r="A28" s="89"/>
      <c r="B28" s="89"/>
      <c r="C28" s="89"/>
      <c r="D28" s="89"/>
      <c r="E28" s="2"/>
      <c r="F28" s="2">
        <v>44</v>
      </c>
      <c r="G28" s="2">
        <v>13</v>
      </c>
      <c r="H28" s="2">
        <v>151</v>
      </c>
      <c r="I28" s="1">
        <f t="shared" si="8"/>
        <v>2.7692307692307629</v>
      </c>
      <c r="J28" s="1">
        <f>$J$22+($J$27-$J$22)/5*6</f>
        <v>13.5688</v>
      </c>
      <c r="K28" s="1">
        <v>2.298</v>
      </c>
      <c r="L28" s="1">
        <v>0.127</v>
      </c>
      <c r="M28" s="1">
        <v>7.0000000000000007E-2</v>
      </c>
      <c r="N28" s="56">
        <f t="shared" ref="N28:N30" si="13">J28/(K28+L28+M28)</f>
        <v>5.4383967935871746</v>
      </c>
      <c r="O28" s="56">
        <f t="shared" si="2"/>
        <v>0.2040881116407319</v>
      </c>
      <c r="P28" s="56">
        <f>N28*O28/(0.9*O28+(1-0.9))</f>
        <v>3.9125594644771837</v>
      </c>
      <c r="Q28" s="1">
        <f t="shared" si="0"/>
        <v>418.15384615384522</v>
      </c>
      <c r="R28" s="76">
        <f>I28*H28/P28</f>
        <v>106.87475805807877</v>
      </c>
    </row>
    <row r="29" spans="1:18" x14ac:dyDescent="0.3">
      <c r="E29" s="2"/>
      <c r="F29" s="2">
        <v>45</v>
      </c>
      <c r="G29" s="2">
        <v>14</v>
      </c>
      <c r="H29" s="2">
        <v>105</v>
      </c>
      <c r="I29" s="1">
        <f t="shared" si="8"/>
        <v>1.8461538461538398</v>
      </c>
      <c r="J29" s="1">
        <f>$J$22+($J$27-$J$22)/5*7</f>
        <v>13.5946</v>
      </c>
      <c r="K29" s="1">
        <v>2.27</v>
      </c>
      <c r="L29" s="1">
        <v>0.127</v>
      </c>
      <c r="M29" s="1">
        <v>7.0000000000000007E-2</v>
      </c>
      <c r="N29" s="56">
        <f t="shared" si="13"/>
        <v>5.5105796513984595</v>
      </c>
      <c r="O29" s="56">
        <f t="shared" si="2"/>
        <v>0.13580052713237903</v>
      </c>
      <c r="P29" s="56">
        <f t="shared" ref="P29:P30" si="14">N29*O29/(0.9*O29+(1-0.9))</f>
        <v>3.3675547827937389</v>
      </c>
      <c r="Q29" s="1">
        <f t="shared" si="0"/>
        <v>193.84615384615319</v>
      </c>
      <c r="R29" s="76">
        <f t="shared" ref="R29:R30" si="15">I29*H29/P29</f>
        <v>57.562880591162212</v>
      </c>
    </row>
    <row r="30" spans="1:18" x14ac:dyDescent="0.3">
      <c r="E30" s="2"/>
      <c r="F30" s="2">
        <v>46</v>
      </c>
      <c r="G30" s="2">
        <v>15</v>
      </c>
      <c r="H30" s="2">
        <v>74</v>
      </c>
      <c r="I30" s="1">
        <f t="shared" si="8"/>
        <v>0.92307692307691669</v>
      </c>
      <c r="J30" s="1">
        <f>$J$22+($J$27-$J$22)/5*8</f>
        <v>13.620399999999998</v>
      </c>
      <c r="K30" s="1">
        <v>2.2429999999999999</v>
      </c>
      <c r="L30" s="1">
        <v>0.127</v>
      </c>
      <c r="M30" s="1">
        <v>7.0000000000000007E-2</v>
      </c>
      <c r="N30" s="56">
        <f t="shared" si="13"/>
        <v>5.5821311475409834</v>
      </c>
      <c r="O30" s="56">
        <f t="shared" si="2"/>
        <v>6.7771645698872049E-2</v>
      </c>
      <c r="P30" s="56">
        <f t="shared" si="14"/>
        <v>2.3498334335615687</v>
      </c>
      <c r="Q30" s="1">
        <f t="shared" si="0"/>
        <v>68.307692307691838</v>
      </c>
      <c r="R30" s="76">
        <f t="shared" si="15"/>
        <v>29.069163512649496</v>
      </c>
    </row>
    <row r="31" spans="1:18" x14ac:dyDescent="0.3">
      <c r="G31">
        <v>16</v>
      </c>
      <c r="I31" s="88">
        <v>0</v>
      </c>
      <c r="O31" s="89"/>
      <c r="P31" s="16" t="s">
        <v>69</v>
      </c>
      <c r="Q31" s="94">
        <f>SUM(Q17:Q30,Q4:Q15)</f>
        <v>49574.769230769212</v>
      </c>
      <c r="R31" s="94">
        <f>SUM(R17:R30,R4:R15)</f>
        <v>11540.808566293086</v>
      </c>
    </row>
    <row r="34" spans="9:17" x14ac:dyDescent="0.3">
      <c r="P34" s="87">
        <f>Q31/R31</f>
        <v>4.2956062346931949</v>
      </c>
    </row>
    <row r="35" spans="9:17" x14ac:dyDescent="0.3">
      <c r="I35" s="88"/>
      <c r="J35" s="88"/>
      <c r="Q35">
        <f>24*1400</f>
        <v>33600</v>
      </c>
    </row>
    <row r="36" spans="9:17" x14ac:dyDescent="0.3">
      <c r="J36" s="88"/>
    </row>
  </sheetData>
  <mergeCells count="4">
    <mergeCell ref="B4:C4"/>
    <mergeCell ref="L1:M1"/>
    <mergeCell ref="A2:C2"/>
    <mergeCell ref="B3:C3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K44"/>
  <sheetViews>
    <sheetView topLeftCell="A13" zoomScale="106" zoomScaleNormal="106" workbookViewId="0">
      <selection activeCell="A38" sqref="A38:K44"/>
    </sheetView>
  </sheetViews>
  <sheetFormatPr defaultRowHeight="14.4" x14ac:dyDescent="0.3"/>
  <cols>
    <col min="1" max="1" width="14.33203125" style="14" customWidth="1"/>
    <col min="2" max="11" width="5.6640625" style="14" bestFit="1" customWidth="1"/>
    <col min="12" max="13" width="8.88671875" style="14"/>
    <col min="14" max="14" width="10" style="14" bestFit="1" customWidth="1"/>
    <col min="15" max="24" width="5.6640625" style="14" bestFit="1" customWidth="1"/>
    <col min="25" max="16384" width="8.88671875" style="14"/>
  </cols>
  <sheetData>
    <row r="1" spans="1:11" x14ac:dyDescent="0.3">
      <c r="A1" s="99" t="s">
        <v>201</v>
      </c>
      <c r="B1" s="190" t="s">
        <v>187</v>
      </c>
      <c r="C1" s="191"/>
      <c r="D1" s="191"/>
      <c r="E1" s="191"/>
      <c r="F1" s="192"/>
      <c r="G1" s="193" t="s">
        <v>188</v>
      </c>
      <c r="H1" s="194"/>
      <c r="I1" s="194"/>
      <c r="J1" s="194"/>
      <c r="K1" s="195"/>
    </row>
    <row r="2" spans="1:11" ht="15" thickBot="1" x14ac:dyDescent="0.35">
      <c r="A2" s="100" t="s">
        <v>202</v>
      </c>
      <c r="B2" s="120">
        <v>1</v>
      </c>
      <c r="C2" s="121">
        <v>2</v>
      </c>
      <c r="D2" s="121">
        <v>3</v>
      </c>
      <c r="E2" s="121">
        <v>4</v>
      </c>
      <c r="F2" s="122">
        <v>5</v>
      </c>
      <c r="G2" s="101">
        <v>6</v>
      </c>
      <c r="H2" s="102">
        <v>7</v>
      </c>
      <c r="I2" s="102">
        <v>8</v>
      </c>
      <c r="J2" s="102">
        <v>9</v>
      </c>
      <c r="K2" s="103">
        <v>10</v>
      </c>
    </row>
    <row r="3" spans="1:11" ht="16.2" x14ac:dyDescent="0.3">
      <c r="A3" s="100" t="s">
        <v>203</v>
      </c>
      <c r="B3" s="196">
        <v>4.68</v>
      </c>
      <c r="C3" s="197"/>
      <c r="D3" s="197"/>
      <c r="E3" s="197"/>
      <c r="F3" s="197"/>
      <c r="G3" s="197"/>
      <c r="H3" s="197"/>
      <c r="I3" s="197"/>
      <c r="J3" s="197"/>
      <c r="K3" s="198"/>
    </row>
    <row r="4" spans="1:11" ht="16.2" x14ac:dyDescent="0.3">
      <c r="A4" s="100" t="s">
        <v>204</v>
      </c>
      <c r="B4" s="199">
        <v>3595</v>
      </c>
      <c r="C4" s="200"/>
      <c r="D4" s="200"/>
      <c r="E4" s="200"/>
      <c r="F4" s="200"/>
      <c r="G4" s="200"/>
      <c r="H4" s="200"/>
      <c r="I4" s="200"/>
      <c r="J4" s="200"/>
      <c r="K4" s="201"/>
    </row>
    <row r="5" spans="1:11" x14ac:dyDescent="0.3">
      <c r="A5" s="100" t="s">
        <v>174</v>
      </c>
      <c r="B5" s="202">
        <v>5</v>
      </c>
      <c r="C5" s="203"/>
      <c r="D5" s="203"/>
      <c r="E5" s="203"/>
      <c r="F5" s="203"/>
      <c r="G5" s="203"/>
      <c r="H5" s="203"/>
      <c r="I5" s="203"/>
      <c r="J5" s="203"/>
      <c r="K5" s="204"/>
    </row>
    <row r="6" spans="1:11" ht="16.2" x14ac:dyDescent="0.3">
      <c r="A6" s="107" t="s">
        <v>205</v>
      </c>
      <c r="B6" s="112">
        <v>1.6</v>
      </c>
      <c r="C6" s="113">
        <v>0.8</v>
      </c>
      <c r="D6" s="113">
        <v>1.6</v>
      </c>
      <c r="E6" s="113">
        <v>1.6</v>
      </c>
      <c r="F6" s="113">
        <v>1.4</v>
      </c>
      <c r="G6" s="104">
        <v>1.6</v>
      </c>
      <c r="H6" s="104">
        <v>0.8</v>
      </c>
      <c r="I6" s="104">
        <v>0.8</v>
      </c>
      <c r="J6" s="104">
        <v>0.8</v>
      </c>
      <c r="K6" s="108">
        <v>1</v>
      </c>
    </row>
    <row r="7" spans="1:11" ht="15.6" x14ac:dyDescent="0.3">
      <c r="A7" s="107" t="s">
        <v>206</v>
      </c>
      <c r="B7" s="112">
        <v>0</v>
      </c>
      <c r="C7" s="113">
        <v>0</v>
      </c>
      <c r="D7" s="113">
        <v>0</v>
      </c>
      <c r="E7" s="113">
        <v>5</v>
      </c>
      <c r="F7" s="113">
        <v>5</v>
      </c>
      <c r="G7" s="104">
        <v>0</v>
      </c>
      <c r="H7" s="104">
        <v>0</v>
      </c>
      <c r="I7" s="104">
        <v>0</v>
      </c>
      <c r="J7" s="104">
        <v>-5</v>
      </c>
      <c r="K7" s="108">
        <v>-5</v>
      </c>
    </row>
    <row r="8" spans="1:11" ht="16.2" x14ac:dyDescent="0.3">
      <c r="A8" s="100" t="s">
        <v>207</v>
      </c>
      <c r="B8" s="114">
        <v>1018</v>
      </c>
      <c r="C8" s="115">
        <v>905</v>
      </c>
      <c r="D8" s="115">
        <v>1017</v>
      </c>
      <c r="E8" s="115">
        <v>1014</v>
      </c>
      <c r="F8" s="115">
        <v>1000</v>
      </c>
      <c r="G8" s="105">
        <v>970</v>
      </c>
      <c r="H8" s="105">
        <v>850</v>
      </c>
      <c r="I8" s="105">
        <v>833</v>
      </c>
      <c r="J8" s="105">
        <v>817</v>
      </c>
      <c r="K8" s="109">
        <v>850</v>
      </c>
    </row>
    <row r="9" spans="1:11" ht="15.6" x14ac:dyDescent="0.3">
      <c r="A9" s="100" t="s">
        <v>208</v>
      </c>
      <c r="B9" s="114">
        <v>-3.3</v>
      </c>
      <c r="C9" s="115">
        <v>-5.8</v>
      </c>
      <c r="D9" s="115">
        <v>-2.9</v>
      </c>
      <c r="E9" s="115">
        <v>1.2</v>
      </c>
      <c r="F9" s="115">
        <v>0.8</v>
      </c>
      <c r="G9" s="105">
        <v>-1.9</v>
      </c>
      <c r="H9" s="105">
        <v>-3.5</v>
      </c>
      <c r="I9" s="105">
        <v>-3.1</v>
      </c>
      <c r="J9" s="105">
        <v>-8</v>
      </c>
      <c r="K9" s="109">
        <v>-7.2</v>
      </c>
    </row>
    <row r="10" spans="1:11" ht="15.6" x14ac:dyDescent="0.3">
      <c r="A10" s="100" t="s">
        <v>209</v>
      </c>
      <c r="B10" s="114">
        <v>-5.8</v>
      </c>
      <c r="C10" s="115">
        <v>-7.5</v>
      </c>
      <c r="D10" s="115">
        <v>-2.9</v>
      </c>
      <c r="E10" s="115">
        <v>-1.7</v>
      </c>
      <c r="F10" s="115">
        <v>-2</v>
      </c>
      <c r="G10" s="105">
        <v>-3.4</v>
      </c>
      <c r="H10" s="105">
        <v>-4.5999999999999996</v>
      </c>
      <c r="I10" s="105">
        <v>-4.2</v>
      </c>
      <c r="J10" s="105">
        <v>-9</v>
      </c>
      <c r="K10" s="109">
        <v>-8.3000000000000007</v>
      </c>
    </row>
    <row r="11" spans="1:11" ht="15.6" x14ac:dyDescent="0.3">
      <c r="A11" s="100" t="s">
        <v>210</v>
      </c>
      <c r="B11" s="114">
        <v>18.7</v>
      </c>
      <c r="C11" s="115">
        <v>16.7</v>
      </c>
      <c r="D11" s="115">
        <v>16.600000000000001</v>
      </c>
      <c r="E11" s="115">
        <v>21.6</v>
      </c>
      <c r="F11" s="115">
        <v>21.2</v>
      </c>
      <c r="G11" s="105">
        <v>10.7</v>
      </c>
      <c r="H11" s="105">
        <v>10</v>
      </c>
      <c r="I11" s="105">
        <v>8.9</v>
      </c>
      <c r="J11" s="105">
        <v>8.6</v>
      </c>
      <c r="K11" s="109">
        <v>7.9</v>
      </c>
    </row>
    <row r="12" spans="1:11" ht="15.6" x14ac:dyDescent="0.3">
      <c r="A12" s="100" t="s">
        <v>211</v>
      </c>
      <c r="B12" s="114">
        <v>5.6</v>
      </c>
      <c r="C12" s="115">
        <v>4.9000000000000004</v>
      </c>
      <c r="D12" s="115">
        <v>4.9000000000000004</v>
      </c>
      <c r="E12" s="115">
        <v>6.8</v>
      </c>
      <c r="F12" s="115">
        <v>6.6</v>
      </c>
      <c r="G12" s="105">
        <v>3</v>
      </c>
      <c r="H12" s="105">
        <v>2.8</v>
      </c>
      <c r="I12" s="105">
        <v>2.5</v>
      </c>
      <c r="J12" s="105">
        <v>2.4</v>
      </c>
      <c r="K12" s="109">
        <v>2.2999999999999998</v>
      </c>
    </row>
    <row r="13" spans="1:11" ht="16.2" thickBot="1" x14ac:dyDescent="0.35">
      <c r="A13" s="100" t="s">
        <v>212</v>
      </c>
      <c r="B13" s="123">
        <v>15.7</v>
      </c>
      <c r="C13" s="124">
        <v>4.5</v>
      </c>
      <c r="D13" s="124">
        <v>15.7</v>
      </c>
      <c r="E13" s="124">
        <v>15.7</v>
      </c>
      <c r="F13" s="124">
        <v>12.4</v>
      </c>
      <c r="G13" s="110">
        <v>15.7</v>
      </c>
      <c r="H13" s="110">
        <v>4.5</v>
      </c>
      <c r="I13" s="110">
        <v>5.7</v>
      </c>
      <c r="J13" s="110">
        <v>4.5</v>
      </c>
      <c r="K13" s="111">
        <v>6.8</v>
      </c>
    </row>
    <row r="14" spans="1:11" ht="15" thickBot="1" x14ac:dyDescent="0.35">
      <c r="A14" s="106"/>
    </row>
    <row r="15" spans="1:11" x14ac:dyDescent="0.3">
      <c r="A15" s="99" t="s">
        <v>142</v>
      </c>
      <c r="B15" s="190" t="s">
        <v>187</v>
      </c>
      <c r="C15" s="191"/>
      <c r="D15" s="191"/>
      <c r="E15" s="191"/>
      <c r="F15" s="192"/>
      <c r="G15" s="193" t="s">
        <v>188</v>
      </c>
      <c r="H15" s="194"/>
      <c r="I15" s="194"/>
      <c r="J15" s="194"/>
      <c r="K15" s="195"/>
    </row>
    <row r="16" spans="1:11" ht="15" thickBot="1" x14ac:dyDescent="0.35">
      <c r="A16" s="100" t="s">
        <v>202</v>
      </c>
      <c r="B16" s="120">
        <v>1</v>
      </c>
      <c r="C16" s="121">
        <v>2</v>
      </c>
      <c r="D16" s="121">
        <v>3</v>
      </c>
      <c r="E16" s="121">
        <v>4</v>
      </c>
      <c r="F16" s="122">
        <v>5</v>
      </c>
      <c r="G16" s="101">
        <v>6</v>
      </c>
      <c r="H16" s="102">
        <v>7</v>
      </c>
      <c r="I16" s="102">
        <v>8</v>
      </c>
      <c r="J16" s="102">
        <v>9</v>
      </c>
      <c r="K16" s="103">
        <v>10</v>
      </c>
    </row>
    <row r="17" spans="1:11" ht="16.2" x14ac:dyDescent="0.3">
      <c r="A17" s="100" t="s">
        <v>213</v>
      </c>
      <c r="B17" s="196">
        <v>1.49</v>
      </c>
      <c r="C17" s="197"/>
      <c r="D17" s="197"/>
      <c r="E17" s="197"/>
      <c r="F17" s="197"/>
      <c r="G17" s="197"/>
      <c r="H17" s="197"/>
      <c r="I17" s="197"/>
      <c r="J17" s="197"/>
      <c r="K17" s="198"/>
    </row>
    <row r="18" spans="1:11" ht="16.2" x14ac:dyDescent="0.3">
      <c r="A18" s="100" t="s">
        <v>214</v>
      </c>
      <c r="B18" s="199">
        <v>4190</v>
      </c>
      <c r="C18" s="200"/>
      <c r="D18" s="200"/>
      <c r="E18" s="200"/>
      <c r="F18" s="200"/>
      <c r="G18" s="200"/>
      <c r="H18" s="200"/>
      <c r="I18" s="200"/>
      <c r="J18" s="200"/>
      <c r="K18" s="201"/>
    </row>
    <row r="19" spans="1:11" x14ac:dyDescent="0.3">
      <c r="A19" s="100" t="s">
        <v>175</v>
      </c>
      <c r="B19" s="202">
        <v>4</v>
      </c>
      <c r="C19" s="203"/>
      <c r="D19" s="203"/>
      <c r="E19" s="203"/>
      <c r="F19" s="203"/>
      <c r="G19" s="203"/>
      <c r="H19" s="203"/>
      <c r="I19" s="203"/>
      <c r="J19" s="203"/>
      <c r="K19" s="204"/>
    </row>
    <row r="20" spans="1:11" ht="16.2" x14ac:dyDescent="0.3">
      <c r="A20" s="107" t="s">
        <v>215</v>
      </c>
      <c r="B20" s="112">
        <v>1.2</v>
      </c>
      <c r="C20" s="113">
        <v>0.6</v>
      </c>
      <c r="D20" s="113">
        <v>1.2</v>
      </c>
      <c r="E20" s="113">
        <v>1.2</v>
      </c>
      <c r="F20" s="113">
        <v>1</v>
      </c>
      <c r="G20" s="104">
        <v>1.2</v>
      </c>
      <c r="H20" s="104">
        <v>0.6</v>
      </c>
      <c r="I20" s="104">
        <v>0.6</v>
      </c>
      <c r="J20" s="104">
        <v>0.6</v>
      </c>
      <c r="K20" s="108">
        <v>1</v>
      </c>
    </row>
    <row r="21" spans="1:11" ht="15.6" x14ac:dyDescent="0.3">
      <c r="A21" s="107" t="s">
        <v>216</v>
      </c>
      <c r="B21" s="112">
        <v>30</v>
      </c>
      <c r="C21" s="113">
        <v>30</v>
      </c>
      <c r="D21" s="113">
        <v>40</v>
      </c>
      <c r="E21" s="113">
        <v>30</v>
      </c>
      <c r="F21" s="113">
        <v>30</v>
      </c>
      <c r="G21" s="104">
        <v>30</v>
      </c>
      <c r="H21" s="104">
        <v>30</v>
      </c>
      <c r="I21" s="104">
        <v>40</v>
      </c>
      <c r="J21" s="104">
        <v>30</v>
      </c>
      <c r="K21" s="108">
        <v>40</v>
      </c>
    </row>
    <row r="22" spans="1:11" ht="16.2" x14ac:dyDescent="0.3">
      <c r="A22" s="100" t="s">
        <v>207</v>
      </c>
      <c r="B22" s="114">
        <v>2024</v>
      </c>
      <c r="C22" s="115">
        <v>1784</v>
      </c>
      <c r="D22" s="115">
        <v>1986</v>
      </c>
      <c r="E22" s="115">
        <v>2222</v>
      </c>
      <c r="F22" s="115">
        <v>2145</v>
      </c>
      <c r="G22" s="105">
        <v>1504</v>
      </c>
      <c r="H22" s="105">
        <v>1404</v>
      </c>
      <c r="I22" s="105">
        <v>1401</v>
      </c>
      <c r="J22" s="105">
        <v>1408</v>
      </c>
      <c r="K22" s="109">
        <v>1474</v>
      </c>
    </row>
    <row r="23" spans="1:11" ht="15.6" x14ac:dyDescent="0.3">
      <c r="A23" s="100" t="s">
        <v>217</v>
      </c>
      <c r="B23" s="114">
        <v>35</v>
      </c>
      <c r="C23" s="115">
        <v>39.4</v>
      </c>
      <c r="D23" s="115">
        <v>44.9</v>
      </c>
      <c r="E23" s="115">
        <v>35.700000000000003</v>
      </c>
      <c r="F23" s="115">
        <v>36.700000000000003</v>
      </c>
      <c r="G23" s="105">
        <v>32.700000000000003</v>
      </c>
      <c r="H23" s="105">
        <v>35.200000000000003</v>
      </c>
      <c r="I23" s="105">
        <v>45.1</v>
      </c>
      <c r="J23" s="105">
        <v>34.6</v>
      </c>
      <c r="K23" s="109">
        <v>42.7</v>
      </c>
    </row>
    <row r="24" spans="1:11" ht="15.6" x14ac:dyDescent="0.3">
      <c r="A24" s="100" t="s">
        <v>218</v>
      </c>
      <c r="B24" s="116">
        <v>41.1</v>
      </c>
      <c r="C24" s="117">
        <v>44.3</v>
      </c>
      <c r="D24" s="117">
        <v>51</v>
      </c>
      <c r="E24" s="117">
        <v>41.8</v>
      </c>
      <c r="F24" s="117">
        <v>42.6</v>
      </c>
      <c r="G24" s="125">
        <v>37.6</v>
      </c>
      <c r="H24" s="125">
        <v>39.299999999999997</v>
      </c>
      <c r="I24" s="125">
        <v>49</v>
      </c>
      <c r="J24" s="125">
        <v>38.1</v>
      </c>
      <c r="K24" s="126">
        <v>46.6</v>
      </c>
    </row>
    <row r="25" spans="1:11" ht="15.6" x14ac:dyDescent="0.3">
      <c r="A25" s="100" t="s">
        <v>219</v>
      </c>
      <c r="B25" s="116">
        <v>25.2</v>
      </c>
      <c r="C25" s="117">
        <v>23.6</v>
      </c>
      <c r="D25" s="117">
        <v>24.6</v>
      </c>
      <c r="E25" s="117">
        <v>28.5</v>
      </c>
      <c r="F25" s="117">
        <v>28.2</v>
      </c>
      <c r="G25" s="125">
        <v>13.7</v>
      </c>
      <c r="H25" s="125">
        <v>13.1</v>
      </c>
      <c r="I25" s="125">
        <v>12.7</v>
      </c>
      <c r="J25" s="125">
        <v>11.5</v>
      </c>
      <c r="K25" s="126">
        <v>11.4</v>
      </c>
    </row>
    <row r="26" spans="1:11" ht="15.6" x14ac:dyDescent="0.3">
      <c r="A26" s="100" t="s">
        <v>220</v>
      </c>
      <c r="B26" s="116">
        <v>0</v>
      </c>
      <c r="C26" s="117">
        <v>0</v>
      </c>
      <c r="D26" s="117">
        <v>0</v>
      </c>
      <c r="E26" s="117">
        <v>0</v>
      </c>
      <c r="F26" s="117">
        <v>0</v>
      </c>
      <c r="G26" s="125">
        <v>0</v>
      </c>
      <c r="H26" s="125">
        <v>0</v>
      </c>
      <c r="I26" s="125">
        <v>0</v>
      </c>
      <c r="J26" s="125">
        <v>0</v>
      </c>
      <c r="K26" s="126">
        <v>0</v>
      </c>
    </row>
    <row r="27" spans="1:11" ht="16.2" thickBot="1" x14ac:dyDescent="0.35">
      <c r="A27" s="100" t="s">
        <v>221</v>
      </c>
      <c r="B27" s="118">
        <v>21.3</v>
      </c>
      <c r="C27" s="119">
        <v>5.73</v>
      </c>
      <c r="D27" s="119">
        <v>21.3</v>
      </c>
      <c r="E27" s="119">
        <v>21.3</v>
      </c>
      <c r="F27" s="119">
        <v>16.600000000000001</v>
      </c>
      <c r="G27" s="127">
        <v>21.3</v>
      </c>
      <c r="H27" s="127">
        <v>5.73</v>
      </c>
      <c r="I27" s="127">
        <v>5.73</v>
      </c>
      <c r="J27" s="127">
        <v>5.73</v>
      </c>
      <c r="K27" s="128">
        <v>8.8000000000000007</v>
      </c>
    </row>
    <row r="28" spans="1:11" ht="15" thickBot="1" x14ac:dyDescent="0.35"/>
    <row r="29" spans="1:11" x14ac:dyDescent="0.3">
      <c r="A29" s="99" t="s">
        <v>13</v>
      </c>
      <c r="B29" s="190" t="s">
        <v>187</v>
      </c>
      <c r="C29" s="191"/>
      <c r="D29" s="191"/>
      <c r="E29" s="191"/>
      <c r="F29" s="192"/>
      <c r="G29" s="205" t="s">
        <v>188</v>
      </c>
      <c r="H29" s="194"/>
      <c r="I29" s="194"/>
      <c r="J29" s="194"/>
      <c r="K29" s="195"/>
    </row>
    <row r="30" spans="1:11" x14ac:dyDescent="0.3">
      <c r="A30" s="129" t="s">
        <v>202</v>
      </c>
      <c r="B30" s="160">
        <v>1</v>
      </c>
      <c r="C30" s="158">
        <v>2</v>
      </c>
      <c r="D30" s="158">
        <v>3</v>
      </c>
      <c r="E30" s="158">
        <v>4</v>
      </c>
      <c r="F30" s="163">
        <v>5</v>
      </c>
      <c r="G30" s="162">
        <v>6</v>
      </c>
      <c r="H30" s="159">
        <v>7</v>
      </c>
      <c r="I30" s="159">
        <v>8</v>
      </c>
      <c r="J30" s="159">
        <v>9</v>
      </c>
      <c r="K30" s="161">
        <v>10</v>
      </c>
    </row>
    <row r="31" spans="1:11" ht="16.2" x14ac:dyDescent="0.3">
      <c r="A31" s="100" t="s">
        <v>222</v>
      </c>
      <c r="B31" s="206">
        <v>17.8</v>
      </c>
      <c r="C31" s="207"/>
      <c r="D31" s="207"/>
      <c r="E31" s="207"/>
      <c r="F31" s="208"/>
      <c r="G31" s="209">
        <v>8.9</v>
      </c>
      <c r="H31" s="210"/>
      <c r="I31" s="210"/>
      <c r="J31" s="210"/>
      <c r="K31" s="211"/>
    </row>
    <row r="32" spans="1:11" ht="16.2" x14ac:dyDescent="0.3">
      <c r="A32" s="100" t="s">
        <v>223</v>
      </c>
      <c r="B32" s="116">
        <v>16.8</v>
      </c>
      <c r="C32" s="117">
        <v>16.600000000000001</v>
      </c>
      <c r="D32" s="117">
        <v>16.399999999999999</v>
      </c>
      <c r="E32" s="117">
        <v>17</v>
      </c>
      <c r="F32" s="130">
        <v>16.899999999999999</v>
      </c>
      <c r="G32" s="152">
        <v>8.5</v>
      </c>
      <c r="H32" s="125">
        <v>8.4</v>
      </c>
      <c r="I32" s="125">
        <v>8.3000000000000007</v>
      </c>
      <c r="J32" s="125">
        <v>8.3000000000000007</v>
      </c>
      <c r="K32" s="126">
        <v>8.1999999999999993</v>
      </c>
    </row>
    <row r="33" spans="1:11" ht="15.6" x14ac:dyDescent="0.3">
      <c r="A33" s="100" t="s">
        <v>224</v>
      </c>
      <c r="B33" s="141">
        <v>0.94199999999999995</v>
      </c>
      <c r="C33" s="142">
        <v>0.93100000000000005</v>
      </c>
      <c r="D33" s="142">
        <v>0.92300000000000004</v>
      </c>
      <c r="E33" s="142">
        <v>0.95299999999999996</v>
      </c>
      <c r="F33" s="143">
        <v>0.95099999999999996</v>
      </c>
      <c r="G33" s="153">
        <v>0.95499999999999996</v>
      </c>
      <c r="H33" s="145">
        <v>0.94899999999999995</v>
      </c>
      <c r="I33" s="145">
        <v>0.93100000000000005</v>
      </c>
      <c r="J33" s="145">
        <v>0.93799999999999994</v>
      </c>
      <c r="K33" s="146">
        <v>0.92300000000000004</v>
      </c>
    </row>
    <row r="34" spans="1:11" ht="15.6" x14ac:dyDescent="0.3">
      <c r="A34" s="100" t="s">
        <v>225</v>
      </c>
      <c r="B34" s="141">
        <v>0.69899999999999995</v>
      </c>
      <c r="C34" s="142">
        <v>0.67200000000000004</v>
      </c>
      <c r="D34" s="142">
        <v>0.65100000000000002</v>
      </c>
      <c r="E34" s="142">
        <v>0.71899999999999997</v>
      </c>
      <c r="F34" s="143">
        <v>0.71499999999999997</v>
      </c>
      <c r="G34" s="153">
        <v>0.72</v>
      </c>
      <c r="H34" s="145">
        <v>0.71199999999999997</v>
      </c>
      <c r="I34" s="145">
        <v>0.67</v>
      </c>
      <c r="J34" s="145">
        <v>0.69099999999999995</v>
      </c>
      <c r="K34" s="146">
        <v>0.65400000000000003</v>
      </c>
    </row>
    <row r="35" spans="1:11" ht="16.8" thickBot="1" x14ac:dyDescent="0.35">
      <c r="A35" s="100" t="s">
        <v>236</v>
      </c>
      <c r="B35" s="147">
        <v>0.113</v>
      </c>
      <c r="C35" s="148">
        <v>0.105</v>
      </c>
      <c r="D35" s="148">
        <v>0.113</v>
      </c>
      <c r="E35" s="148">
        <v>0.13</v>
      </c>
      <c r="F35" s="149">
        <v>0.129</v>
      </c>
      <c r="G35" s="154">
        <v>6.2E-2</v>
      </c>
      <c r="H35" s="150">
        <v>5.8999999999999997E-2</v>
      </c>
      <c r="I35" s="150">
        <v>5.8999999999999997E-2</v>
      </c>
      <c r="J35" s="150">
        <v>5.0999999999999997E-2</v>
      </c>
      <c r="K35" s="151">
        <v>5.0999999999999997E-2</v>
      </c>
    </row>
    <row r="37" spans="1:11" ht="15" thickBot="1" x14ac:dyDescent="0.35"/>
    <row r="38" spans="1:11" x14ac:dyDescent="0.3">
      <c r="A38" s="99" t="s">
        <v>143</v>
      </c>
      <c r="B38" s="190" t="s">
        <v>187</v>
      </c>
      <c r="C38" s="191"/>
      <c r="D38" s="191"/>
      <c r="E38" s="191"/>
      <c r="F38" s="192"/>
      <c r="G38" s="193" t="s">
        <v>188</v>
      </c>
      <c r="H38" s="194"/>
      <c r="I38" s="194"/>
      <c r="J38" s="194"/>
      <c r="K38" s="195"/>
    </row>
    <row r="39" spans="1:11" x14ac:dyDescent="0.3">
      <c r="A39" s="129" t="s">
        <v>202</v>
      </c>
      <c r="B39" s="160">
        <v>1</v>
      </c>
      <c r="C39" s="158">
        <v>2</v>
      </c>
      <c r="D39" s="158">
        <v>3</v>
      </c>
      <c r="E39" s="158">
        <v>4</v>
      </c>
      <c r="F39" s="163">
        <v>5</v>
      </c>
      <c r="G39" s="176">
        <v>6</v>
      </c>
      <c r="H39" s="159">
        <v>7</v>
      </c>
      <c r="I39" s="159">
        <v>8</v>
      </c>
      <c r="J39" s="159">
        <v>9</v>
      </c>
      <c r="K39" s="161">
        <v>10</v>
      </c>
    </row>
    <row r="40" spans="1:11" ht="16.2" x14ac:dyDescent="0.3">
      <c r="A40" s="178" t="s">
        <v>236</v>
      </c>
      <c r="B40" s="179">
        <v>0.1129</v>
      </c>
      <c r="C40" s="142">
        <v>0.10521516882455076</v>
      </c>
      <c r="D40" s="142">
        <v>0.11309931732470686</v>
      </c>
      <c r="E40" s="142">
        <v>0.13038043020812534</v>
      </c>
      <c r="F40" s="143">
        <v>0.12901565255168132</v>
      </c>
      <c r="G40" s="144">
        <v>6.2146876308956135E-2</v>
      </c>
      <c r="H40" s="174">
        <v>5.9320038272660393E-2</v>
      </c>
      <c r="I40" s="145">
        <v>5.9135663064759217E-2</v>
      </c>
      <c r="J40" s="145">
        <v>5.0657350090067076E-2</v>
      </c>
      <c r="K40" s="146">
        <v>5.1185541988122342E-2</v>
      </c>
    </row>
    <row r="41" spans="1:11" x14ac:dyDescent="0.3">
      <c r="A41" s="178" t="s">
        <v>161</v>
      </c>
      <c r="B41" s="180">
        <v>6.1829999999999998</v>
      </c>
      <c r="C41" s="131">
        <v>6.6466277867569605</v>
      </c>
      <c r="D41" s="131">
        <v>7.7437467627649337</v>
      </c>
      <c r="E41" s="131">
        <v>6.2793970772846937</v>
      </c>
      <c r="F41" s="132">
        <v>6.4020738653052236</v>
      </c>
      <c r="G41" s="133">
        <v>2.857845667578141</v>
      </c>
      <c r="H41" s="175">
        <v>2.9664691875839497</v>
      </c>
      <c r="I41" s="134">
        <v>3.7048764178718776</v>
      </c>
      <c r="J41" s="134">
        <v>2.8806828073948432</v>
      </c>
      <c r="K41" s="135">
        <v>3.4976007397533326</v>
      </c>
    </row>
    <row r="42" spans="1:11" ht="15.6" x14ac:dyDescent="0.3">
      <c r="A42" s="178" t="s">
        <v>210</v>
      </c>
      <c r="B42" s="180">
        <v>18.564</v>
      </c>
      <c r="C42" s="131">
        <v>16.602615542206543</v>
      </c>
      <c r="D42" s="131">
        <v>16.535897980296632</v>
      </c>
      <c r="E42" s="131">
        <v>21.484625513308501</v>
      </c>
      <c r="F42" s="132">
        <v>21.047972140309113</v>
      </c>
      <c r="G42" s="133">
        <v>10.657406283499023</v>
      </c>
      <c r="H42" s="175">
        <v>9.9705056054454744</v>
      </c>
      <c r="I42" s="134">
        <v>8.8923183073757261</v>
      </c>
      <c r="J42" s="134">
        <v>8.5338250097949544</v>
      </c>
      <c r="K42" s="135">
        <v>7.8433779111144251</v>
      </c>
    </row>
    <row r="43" spans="1:11" ht="15.6" x14ac:dyDescent="0.3">
      <c r="A43" s="178" t="s">
        <v>219</v>
      </c>
      <c r="B43" s="180">
        <v>24.747</v>
      </c>
      <c r="C43" s="131">
        <v>23.249243328963502</v>
      </c>
      <c r="D43" s="131">
        <v>24.279644743061567</v>
      </c>
      <c r="E43" s="131">
        <v>27.764022590593196</v>
      </c>
      <c r="F43" s="132">
        <v>27.450046005614336</v>
      </c>
      <c r="G43" s="133">
        <v>13.515251951077165</v>
      </c>
      <c r="H43" s="175">
        <v>12.936974793029425</v>
      </c>
      <c r="I43" s="134">
        <v>12.597194725247604</v>
      </c>
      <c r="J43" s="134">
        <v>11.414507817189797</v>
      </c>
      <c r="K43" s="135">
        <v>11.340978650867758</v>
      </c>
    </row>
    <row r="44" spans="1:11" ht="15" thickBot="1" x14ac:dyDescent="0.35">
      <c r="A44" s="178" t="s">
        <v>173</v>
      </c>
      <c r="B44" s="181">
        <v>4.0030000000000001</v>
      </c>
      <c r="C44" s="136">
        <v>3.4979006008560218</v>
      </c>
      <c r="D44" s="136">
        <v>3.1353872339689515</v>
      </c>
      <c r="E44" s="136">
        <v>4.421447194512945</v>
      </c>
      <c r="F44" s="137">
        <v>4.2876803022180745</v>
      </c>
      <c r="G44" s="138">
        <v>4.7291748831666478</v>
      </c>
      <c r="H44" s="177">
        <v>4.3610683189215882</v>
      </c>
      <c r="I44" s="139">
        <v>3.4001659716583945</v>
      </c>
      <c r="J44" s="139">
        <v>3.9624313332548238</v>
      </c>
      <c r="K44" s="140">
        <v>3.2425023593938218</v>
      </c>
    </row>
  </sheetData>
  <mergeCells count="16">
    <mergeCell ref="B38:F38"/>
    <mergeCell ref="G38:K38"/>
    <mergeCell ref="B17:K17"/>
    <mergeCell ref="B18:K18"/>
    <mergeCell ref="B19:K19"/>
    <mergeCell ref="B29:F29"/>
    <mergeCell ref="G29:K29"/>
    <mergeCell ref="B31:F31"/>
    <mergeCell ref="G31:K31"/>
    <mergeCell ref="B15:F15"/>
    <mergeCell ref="G15:K15"/>
    <mergeCell ref="B1:F1"/>
    <mergeCell ref="G1:K1"/>
    <mergeCell ref="B3:K3"/>
    <mergeCell ref="B4:K4"/>
    <mergeCell ref="B5:K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U168"/>
  <sheetViews>
    <sheetView topLeftCell="A145" workbookViewId="0">
      <selection activeCell="T168" sqref="J164:T168"/>
    </sheetView>
  </sheetViews>
  <sheetFormatPr defaultRowHeight="14.4" x14ac:dyDescent="0.3"/>
  <cols>
    <col min="1" max="1" width="14.109375" bestFit="1" customWidth="1"/>
    <col min="2" max="2" width="6.44140625" bestFit="1" customWidth="1"/>
    <col min="4" max="4" width="14.33203125" bestFit="1" customWidth="1"/>
    <col min="5" max="5" width="5.44140625" bestFit="1" customWidth="1"/>
    <col min="7" max="7" width="7.5546875" bestFit="1" customWidth="1"/>
    <col min="8" max="8" width="6.44140625" bestFit="1" customWidth="1"/>
    <col min="10" max="10" width="10" bestFit="1" customWidth="1"/>
    <col min="11" max="11" width="11" bestFit="1" customWidth="1"/>
    <col min="13" max="13" width="8.6640625" bestFit="1" customWidth="1"/>
    <col min="14" max="14" width="6.44140625" bestFit="1" customWidth="1"/>
    <col min="15" max="15" width="7.6640625" bestFit="1" customWidth="1"/>
    <col min="16" max="16" width="9.33203125" bestFit="1" customWidth="1"/>
    <col min="17" max="17" width="9" bestFit="1" customWidth="1"/>
    <col min="18" max="18" width="10.88671875" bestFit="1" customWidth="1"/>
    <col min="19" max="19" width="8.77734375" bestFit="1" customWidth="1"/>
    <col min="20" max="20" width="9.21875" bestFit="1" customWidth="1"/>
    <col min="21" max="21" width="11.33203125" bestFit="1" customWidth="1"/>
  </cols>
  <sheetData>
    <row r="1" spans="1:21" ht="15" thickBot="1" x14ac:dyDescent="0.35">
      <c r="A1" t="s">
        <v>226</v>
      </c>
    </row>
    <row r="2" spans="1:21" ht="15" thickBot="1" x14ac:dyDescent="0.35">
      <c r="A2" s="214" t="s">
        <v>141</v>
      </c>
      <c r="B2" s="215"/>
      <c r="C2" s="41"/>
      <c r="D2" s="215" t="s">
        <v>142</v>
      </c>
      <c r="E2" s="215"/>
      <c r="F2" s="42"/>
      <c r="G2" s="216" t="s">
        <v>143</v>
      </c>
      <c r="H2" s="217"/>
      <c r="J2" s="218" t="s">
        <v>144</v>
      </c>
      <c r="K2" s="219"/>
      <c r="L2" s="42"/>
      <c r="M2" s="43"/>
      <c r="N2" s="44" t="s">
        <v>145</v>
      </c>
      <c r="O2" s="44" t="s">
        <v>146</v>
      </c>
      <c r="P2" s="44" t="s">
        <v>147</v>
      </c>
      <c r="Q2" s="44" t="s">
        <v>148</v>
      </c>
      <c r="R2" s="44" t="s">
        <v>149</v>
      </c>
      <c r="S2" s="44" t="s">
        <v>150</v>
      </c>
      <c r="T2" s="44" t="s">
        <v>151</v>
      </c>
      <c r="U2" s="45" t="s">
        <v>152</v>
      </c>
    </row>
    <row r="3" spans="1:21" ht="16.2" thickTop="1" x14ac:dyDescent="0.35">
      <c r="A3" s="46" t="s">
        <v>153</v>
      </c>
      <c r="B3" s="47">
        <v>4.68</v>
      </c>
      <c r="C3" s="48"/>
      <c r="D3" s="47" t="s">
        <v>154</v>
      </c>
      <c r="E3" s="47">
        <v>1.49</v>
      </c>
      <c r="F3" s="48"/>
      <c r="G3" s="49" t="s">
        <v>155</v>
      </c>
      <c r="H3" s="50">
        <v>-5.7732466540294709</v>
      </c>
      <c r="J3" s="51" t="s">
        <v>156</v>
      </c>
      <c r="K3" s="52">
        <v>0.112923892245313</v>
      </c>
      <c r="L3" s="48"/>
      <c r="M3" s="49" t="s">
        <v>157</v>
      </c>
      <c r="N3" s="53">
        <v>655.45733780367243</v>
      </c>
      <c r="O3" s="53">
        <v>2485.6333606498165</v>
      </c>
      <c r="P3" s="53">
        <v>2485.6333606498165</v>
      </c>
      <c r="Q3" s="53">
        <v>2485.6333606498165</v>
      </c>
      <c r="R3" s="53">
        <v>2485.6333606498165</v>
      </c>
      <c r="S3" s="53">
        <v>2485.6333606498165</v>
      </c>
      <c r="T3" s="53">
        <v>661.07891890381984</v>
      </c>
      <c r="U3" s="54">
        <v>661.07891890381984</v>
      </c>
    </row>
    <row r="4" spans="1:21" x14ac:dyDescent="0.3">
      <c r="A4" s="55" t="s">
        <v>158</v>
      </c>
      <c r="B4" s="56">
        <v>1.0181855773316917</v>
      </c>
      <c r="C4" s="48"/>
      <c r="D4" s="12" t="s">
        <v>159</v>
      </c>
      <c r="E4" s="56">
        <v>2.0236537411758762</v>
      </c>
      <c r="F4" s="48"/>
      <c r="G4" s="57" t="s">
        <v>160</v>
      </c>
      <c r="H4" s="58">
        <v>41.129638671875</v>
      </c>
      <c r="J4" s="59" t="s">
        <v>161</v>
      </c>
      <c r="K4" s="60">
        <v>6.1828341930326989</v>
      </c>
      <c r="L4" s="48"/>
      <c r="M4" s="57" t="s">
        <v>162</v>
      </c>
      <c r="N4" s="61">
        <v>-0.7732466540294709</v>
      </c>
      <c r="O4" s="61">
        <v>67.104220854622099</v>
      </c>
      <c r="P4" s="61">
        <v>80.671052408155902</v>
      </c>
      <c r="Q4" s="61">
        <v>41.132810443289657</v>
      </c>
      <c r="R4" s="61">
        <v>41.014561174326673</v>
      </c>
      <c r="S4" s="61">
        <v>37.014561174326673</v>
      </c>
      <c r="T4" s="61">
        <v>-5.8425906064632045</v>
      </c>
      <c r="U4" s="62">
        <v>-5.7732466540294709</v>
      </c>
    </row>
    <row r="5" spans="1:21" ht="15.6" x14ac:dyDescent="0.35">
      <c r="A5" s="63" t="s">
        <v>163</v>
      </c>
      <c r="B5" s="64">
        <v>1.6</v>
      </c>
      <c r="C5" s="48"/>
      <c r="D5" s="64" t="s">
        <v>164</v>
      </c>
      <c r="E5" s="64">
        <v>1.2</v>
      </c>
      <c r="F5" s="48"/>
      <c r="G5" s="57" t="s">
        <v>165</v>
      </c>
      <c r="H5" s="58">
        <v>18.703475358174796</v>
      </c>
      <c r="J5" s="59" t="s">
        <v>165</v>
      </c>
      <c r="K5" s="60">
        <v>18.564337532556824</v>
      </c>
      <c r="L5" s="48"/>
      <c r="M5" s="57" t="s">
        <v>166</v>
      </c>
      <c r="N5" s="61">
        <v>424.97767250973982</v>
      </c>
      <c r="O5" s="61">
        <v>463.24904773656158</v>
      </c>
      <c r="P5" s="61">
        <v>479.72989606577227</v>
      </c>
      <c r="Q5" s="61">
        <v>425.20384636541326</v>
      </c>
      <c r="R5" s="61">
        <v>268.2223739050109</v>
      </c>
      <c r="S5" s="61">
        <v>260.58077506461706</v>
      </c>
      <c r="T5" s="61">
        <v>260.58077506461706</v>
      </c>
      <c r="U5" s="62">
        <v>419.52935748313678</v>
      </c>
    </row>
    <row r="6" spans="1:21" ht="16.2" thickBot="1" x14ac:dyDescent="0.4">
      <c r="A6" s="55" t="s">
        <v>167</v>
      </c>
      <c r="B6" s="12">
        <v>3.5950000000000002</v>
      </c>
      <c r="C6" s="65"/>
      <c r="D6" s="12" t="s">
        <v>168</v>
      </c>
      <c r="E6" s="12">
        <v>4.1900000000000004</v>
      </c>
      <c r="F6" s="48"/>
      <c r="G6" s="57" t="s">
        <v>169</v>
      </c>
      <c r="H6" s="58">
        <v>25.234679874817029</v>
      </c>
      <c r="J6" s="66" t="s">
        <v>169</v>
      </c>
      <c r="K6" s="67">
        <v>24.747171725589521</v>
      </c>
      <c r="L6" s="68"/>
      <c r="M6" s="69" t="s">
        <v>170</v>
      </c>
      <c r="N6" s="67">
        <v>1.8429359257416946</v>
      </c>
      <c r="O6" s="67">
        <v>1.8429359257416946</v>
      </c>
      <c r="P6" s="70"/>
      <c r="Q6" s="70"/>
      <c r="R6" s="70"/>
      <c r="S6" s="70"/>
      <c r="T6" s="70"/>
      <c r="U6" s="71"/>
    </row>
    <row r="7" spans="1:21" ht="15" thickBot="1" x14ac:dyDescent="0.35">
      <c r="A7" s="63" t="s">
        <v>171</v>
      </c>
      <c r="B7" s="64">
        <v>0</v>
      </c>
      <c r="C7" s="48"/>
      <c r="D7" s="64" t="s">
        <v>172</v>
      </c>
      <c r="E7" s="64">
        <v>30</v>
      </c>
      <c r="F7" s="48"/>
      <c r="G7" s="48"/>
      <c r="H7" s="72"/>
      <c r="J7" s="73" t="s">
        <v>173</v>
      </c>
      <c r="K7" s="74">
        <v>4.0025611156573744</v>
      </c>
    </row>
    <row r="8" spans="1:21" ht="15" thickBot="1" x14ac:dyDescent="0.35">
      <c r="A8" s="55" t="s">
        <v>174</v>
      </c>
      <c r="B8" s="12">
        <v>5</v>
      </c>
      <c r="C8" s="48"/>
      <c r="D8" s="12" t="s">
        <v>175</v>
      </c>
      <c r="E8" s="12">
        <v>4</v>
      </c>
      <c r="F8" s="48"/>
      <c r="G8" s="48"/>
      <c r="H8" s="75"/>
    </row>
    <row r="9" spans="1:21" x14ac:dyDescent="0.3">
      <c r="A9" s="12" t="s">
        <v>176</v>
      </c>
      <c r="B9" s="84">
        <f>B7-H5/B5/B6</f>
        <v>-3.2516473153989556</v>
      </c>
      <c r="C9" s="48"/>
      <c r="D9" s="12" t="s">
        <v>177</v>
      </c>
      <c r="E9" s="84">
        <f>E7+H6/E5/E6</f>
        <v>35.018830524028843</v>
      </c>
      <c r="F9" s="48"/>
      <c r="G9" s="48"/>
      <c r="H9" s="75"/>
      <c r="J9" s="220" t="s">
        <v>178</v>
      </c>
      <c r="K9" s="221"/>
    </row>
    <row r="10" spans="1:21" ht="15" thickBot="1" x14ac:dyDescent="0.35">
      <c r="A10" s="212" t="s">
        <v>13</v>
      </c>
      <c r="B10" s="213"/>
      <c r="C10" s="65"/>
      <c r="D10" s="65"/>
      <c r="E10" s="65"/>
      <c r="F10" s="48"/>
      <c r="G10" s="48"/>
      <c r="H10" s="75"/>
      <c r="J10" s="59" t="s">
        <v>179</v>
      </c>
      <c r="K10" s="58">
        <v>5.6215811001473686</v>
      </c>
    </row>
    <row r="11" spans="1:21" ht="15" thickTop="1" x14ac:dyDescent="0.3">
      <c r="A11" s="46" t="s">
        <v>22</v>
      </c>
      <c r="B11" s="47" t="s">
        <v>21</v>
      </c>
      <c r="C11" s="65"/>
      <c r="D11" s="65"/>
      <c r="E11" s="65"/>
      <c r="F11" s="48"/>
      <c r="G11" s="48"/>
      <c r="H11" s="75"/>
      <c r="J11" s="59" t="s">
        <v>180</v>
      </c>
      <c r="K11" s="77">
        <v>15.701530303030307</v>
      </c>
      <c r="M11">
        <f>K3*(N5-T5)</f>
        <v>18.564337532556817</v>
      </c>
    </row>
    <row r="12" spans="1:21" x14ac:dyDescent="0.3">
      <c r="A12" s="55" t="s">
        <v>181</v>
      </c>
      <c r="B12" s="12">
        <v>8.9</v>
      </c>
      <c r="C12" s="65"/>
      <c r="D12" s="65"/>
      <c r="E12" s="65"/>
      <c r="F12" s="48"/>
      <c r="G12" s="65"/>
      <c r="H12" s="75"/>
      <c r="J12" s="59" t="s">
        <v>182</v>
      </c>
      <c r="K12" s="77">
        <v>0</v>
      </c>
    </row>
    <row r="13" spans="1:21" ht="15" thickBot="1" x14ac:dyDescent="0.35">
      <c r="A13" s="78" t="s">
        <v>183</v>
      </c>
      <c r="B13" s="60">
        <v>0.94239449690950838</v>
      </c>
      <c r="C13" s="65"/>
      <c r="D13" s="79"/>
      <c r="E13" s="65"/>
      <c r="F13" s="48"/>
      <c r="G13" s="48"/>
      <c r="H13" s="75"/>
      <c r="J13" s="66" t="s">
        <v>184</v>
      </c>
      <c r="K13" s="80">
        <v>21.314000000000007</v>
      </c>
    </row>
    <row r="14" spans="1:21" x14ac:dyDescent="0.3">
      <c r="A14" s="78" t="s">
        <v>185</v>
      </c>
      <c r="B14" s="60">
        <v>0.69899216399230835</v>
      </c>
      <c r="C14" s="65"/>
      <c r="D14" s="79"/>
      <c r="E14" s="65"/>
      <c r="F14" s="48"/>
      <c r="G14" s="48"/>
      <c r="H14" s="75"/>
    </row>
    <row r="15" spans="1:21" ht="15" thickBot="1" x14ac:dyDescent="0.35">
      <c r="A15" s="81" t="s">
        <v>186</v>
      </c>
      <c r="B15" s="67">
        <v>16.77462204498925</v>
      </c>
      <c r="C15" s="82"/>
      <c r="D15" s="82"/>
      <c r="E15" s="82"/>
      <c r="F15" s="68"/>
      <c r="G15" s="68"/>
      <c r="H15" s="83"/>
    </row>
    <row r="18" spans="1:21" ht="15" thickBot="1" x14ac:dyDescent="0.35">
      <c r="A18" s="155" t="s">
        <v>227</v>
      </c>
    </row>
    <row r="19" spans="1:21" ht="15" thickBot="1" x14ac:dyDescent="0.35">
      <c r="A19" s="214" t="s">
        <v>141</v>
      </c>
      <c r="B19" s="215"/>
      <c r="C19" s="41"/>
      <c r="D19" s="215" t="s">
        <v>142</v>
      </c>
      <c r="E19" s="215"/>
      <c r="F19" s="42"/>
      <c r="G19" s="216" t="s">
        <v>143</v>
      </c>
      <c r="H19" s="217"/>
      <c r="J19" s="218" t="s">
        <v>144</v>
      </c>
      <c r="K19" s="219"/>
      <c r="L19" s="42"/>
      <c r="M19" s="43"/>
      <c r="N19" s="44" t="s">
        <v>145</v>
      </c>
      <c r="O19" s="44" t="s">
        <v>146</v>
      </c>
      <c r="P19" s="44" t="s">
        <v>147</v>
      </c>
      <c r="Q19" s="44" t="s">
        <v>148</v>
      </c>
      <c r="R19" s="44" t="s">
        <v>149</v>
      </c>
      <c r="S19" s="44" t="s">
        <v>150</v>
      </c>
      <c r="T19" s="44" t="s">
        <v>151</v>
      </c>
      <c r="U19" s="45" t="s">
        <v>152</v>
      </c>
    </row>
    <row r="20" spans="1:21" ht="16.2" thickTop="1" x14ac:dyDescent="0.35">
      <c r="A20" s="46" t="s">
        <v>153</v>
      </c>
      <c r="B20" s="47">
        <v>4.68</v>
      </c>
      <c r="C20" s="48"/>
      <c r="D20" s="47" t="s">
        <v>154</v>
      </c>
      <c r="E20" s="47">
        <v>1.49</v>
      </c>
      <c r="F20" s="48"/>
      <c r="G20" s="49" t="s">
        <v>155</v>
      </c>
      <c r="H20" s="50">
        <v>-7.544677436740276</v>
      </c>
      <c r="J20" s="51" t="s">
        <v>156</v>
      </c>
      <c r="K20" s="52">
        <v>0.10521516882455076</v>
      </c>
      <c r="L20" s="48"/>
      <c r="M20" s="49" t="s">
        <v>157</v>
      </c>
      <c r="N20" s="53">
        <v>617.94716231138989</v>
      </c>
      <c r="O20" s="53">
        <v>2686.2560552426153</v>
      </c>
      <c r="P20" s="53">
        <v>2686.2560552426153</v>
      </c>
      <c r="Q20" s="53">
        <v>2686.2560552426153</v>
      </c>
      <c r="R20" s="53">
        <v>2686.2560552426153</v>
      </c>
      <c r="S20" s="53">
        <v>2686.2560552426153</v>
      </c>
      <c r="T20" s="53">
        <v>622.85492261142349</v>
      </c>
      <c r="U20" s="54">
        <v>622.85492261142349</v>
      </c>
    </row>
    <row r="21" spans="1:21" x14ac:dyDescent="0.3">
      <c r="A21" s="55" t="s">
        <v>158</v>
      </c>
      <c r="B21" s="56">
        <v>0.90506087840661642</v>
      </c>
      <c r="C21" s="48"/>
      <c r="D21" s="12" t="s">
        <v>159</v>
      </c>
      <c r="E21" s="56">
        <v>1.7841931818181864</v>
      </c>
      <c r="F21" s="48"/>
      <c r="G21" s="57" t="s">
        <v>160</v>
      </c>
      <c r="H21" s="58">
        <v>44.376953125</v>
      </c>
      <c r="J21" s="59" t="s">
        <v>161</v>
      </c>
      <c r="K21" s="60">
        <v>6.6466277867569605</v>
      </c>
      <c r="L21" s="48"/>
      <c r="M21" s="57" t="s">
        <v>162</v>
      </c>
      <c r="N21" s="61">
        <v>-2.544677436740276</v>
      </c>
      <c r="O21" s="61">
        <v>72.500757077506591</v>
      </c>
      <c r="P21" s="61">
        <v>89.484603290268012</v>
      </c>
      <c r="Q21" s="61">
        <v>44.378407482291948</v>
      </c>
      <c r="R21" s="61">
        <v>44.261207483700161</v>
      </c>
      <c r="S21" s="61">
        <v>40.261207483700161</v>
      </c>
      <c r="T21" s="61">
        <v>-7.6099363068901766</v>
      </c>
      <c r="U21" s="62">
        <v>-7.544677436740276</v>
      </c>
    </row>
    <row r="22" spans="1:21" ht="15.6" x14ac:dyDescent="0.35">
      <c r="A22" s="63" t="s">
        <v>163</v>
      </c>
      <c r="B22" s="64">
        <v>0.8</v>
      </c>
      <c r="C22" s="48"/>
      <c r="D22" s="64" t="s">
        <v>164</v>
      </c>
      <c r="E22" s="64">
        <v>0.6</v>
      </c>
      <c r="F22" s="48"/>
      <c r="G22" s="57" t="s">
        <v>165</v>
      </c>
      <c r="H22" s="58">
        <v>16.722454270291259</v>
      </c>
      <c r="J22" s="59" t="s">
        <v>165</v>
      </c>
      <c r="K22" s="60">
        <v>16.602615542206543</v>
      </c>
      <c r="L22" s="48"/>
      <c r="M22" s="57" t="s">
        <v>166</v>
      </c>
      <c r="N22" s="61">
        <v>424.28205758713523</v>
      </c>
      <c r="O22" s="61">
        <v>466.72798235871454</v>
      </c>
      <c r="P22" s="61">
        <v>487.45382132626298</v>
      </c>
      <c r="Q22" s="61">
        <v>424.29516219759455</v>
      </c>
      <c r="R22" s="61">
        <v>274.41263697706461</v>
      </c>
      <c r="S22" s="61">
        <v>266.48527098603336</v>
      </c>
      <c r="T22" s="61">
        <v>266.48527098603336</v>
      </c>
      <c r="U22" s="62">
        <v>418.9178631149457</v>
      </c>
    </row>
    <row r="23" spans="1:21" ht="16.2" thickBot="1" x14ac:dyDescent="0.4">
      <c r="A23" s="55" t="s">
        <v>167</v>
      </c>
      <c r="B23" s="12">
        <v>3.5950000000000002</v>
      </c>
      <c r="C23" s="65"/>
      <c r="D23" s="12" t="s">
        <v>168</v>
      </c>
      <c r="E23" s="12">
        <v>4.1900000000000004</v>
      </c>
      <c r="F23" s="48"/>
      <c r="G23" s="57" t="s">
        <v>169</v>
      </c>
      <c r="H23" s="58">
        <v>23.588224163822183</v>
      </c>
      <c r="J23" s="66" t="s">
        <v>169</v>
      </c>
      <c r="K23" s="67">
        <v>23.249243328963502</v>
      </c>
      <c r="L23" s="68"/>
      <c r="M23" s="69" t="s">
        <v>170</v>
      </c>
      <c r="N23" s="67">
        <v>1.8462419262601786</v>
      </c>
      <c r="O23" s="67">
        <v>1.8462419262601786</v>
      </c>
      <c r="P23" s="70"/>
      <c r="Q23" s="70"/>
      <c r="R23" s="70"/>
      <c r="S23" s="70"/>
      <c r="T23" s="70"/>
      <c r="U23" s="71"/>
    </row>
    <row r="24" spans="1:21" ht="15" thickBot="1" x14ac:dyDescent="0.35">
      <c r="A24" s="63" t="s">
        <v>171</v>
      </c>
      <c r="B24" s="64">
        <v>0</v>
      </c>
      <c r="C24" s="48"/>
      <c r="D24" s="64" t="s">
        <v>172</v>
      </c>
      <c r="E24" s="64">
        <v>30</v>
      </c>
      <c r="F24" s="48"/>
      <c r="G24" s="48"/>
      <c r="H24" s="72"/>
      <c r="J24" s="73" t="s">
        <v>173</v>
      </c>
      <c r="K24" s="74">
        <v>3.4979006008560218</v>
      </c>
    </row>
    <row r="25" spans="1:21" ht="15" thickBot="1" x14ac:dyDescent="0.35">
      <c r="A25" s="55" t="s">
        <v>174</v>
      </c>
      <c r="B25" s="12">
        <v>5</v>
      </c>
      <c r="C25" s="48"/>
      <c r="D25" s="12" t="s">
        <v>175</v>
      </c>
      <c r="E25" s="12">
        <v>4</v>
      </c>
      <c r="F25" s="48"/>
      <c r="G25" s="48"/>
      <c r="H25" s="75"/>
    </row>
    <row r="26" spans="1:21" x14ac:dyDescent="0.3">
      <c r="A26" s="12" t="s">
        <v>176</v>
      </c>
      <c r="B26" s="84">
        <f>B24-H22/B22/B23</f>
        <v>-5.8144834041346511</v>
      </c>
      <c r="C26" s="48"/>
      <c r="D26" s="12" t="s">
        <v>177</v>
      </c>
      <c r="E26" s="84">
        <f>E24+H23/E22/E23</f>
        <v>39.38274628632545</v>
      </c>
      <c r="F26" s="48"/>
      <c r="G26" s="48"/>
      <c r="H26" s="75"/>
      <c r="J26" s="220" t="s">
        <v>178</v>
      </c>
      <c r="K26" s="221"/>
    </row>
    <row r="27" spans="1:21" ht="15" thickBot="1" x14ac:dyDescent="0.35">
      <c r="A27" s="212" t="s">
        <v>13</v>
      </c>
      <c r="B27" s="213"/>
      <c r="C27" s="65"/>
      <c r="D27" s="65"/>
      <c r="E27" s="65"/>
      <c r="F27" s="48"/>
      <c r="G27" s="48"/>
      <c r="H27" s="75"/>
      <c r="J27" s="59" t="s">
        <v>179</v>
      </c>
      <c r="K27" s="58">
        <v>4.9077603000336483</v>
      </c>
    </row>
    <row r="28" spans="1:21" ht="15" thickTop="1" x14ac:dyDescent="0.3">
      <c r="A28" s="46" t="s">
        <v>22</v>
      </c>
      <c r="B28" s="47" t="s">
        <v>21</v>
      </c>
      <c r="C28" s="65"/>
      <c r="D28" s="65"/>
      <c r="E28" s="65"/>
      <c r="F28" s="48"/>
      <c r="G28" s="48"/>
      <c r="H28" s="75"/>
      <c r="J28" s="59" t="s">
        <v>180</v>
      </c>
      <c r="K28" s="77">
        <v>4.512500000000002</v>
      </c>
    </row>
    <row r="29" spans="1:21" x14ac:dyDescent="0.3">
      <c r="A29" s="55" t="s">
        <v>181</v>
      </c>
      <c r="B29" s="12">
        <v>8.9</v>
      </c>
      <c r="C29" s="65"/>
      <c r="D29" s="65"/>
      <c r="E29" s="65"/>
      <c r="F29" s="48"/>
      <c r="G29" s="65"/>
      <c r="H29" s="75"/>
      <c r="J29" s="59" t="s">
        <v>182</v>
      </c>
      <c r="K29" s="77">
        <v>0</v>
      </c>
    </row>
    <row r="30" spans="1:21" ht="15" thickBot="1" x14ac:dyDescent="0.35">
      <c r="A30" s="78" t="s">
        <v>183</v>
      </c>
      <c r="B30" s="60">
        <v>0.93052415203784333</v>
      </c>
      <c r="C30" s="65"/>
      <c r="D30" s="79"/>
      <c r="E30" s="65"/>
      <c r="F30" s="48"/>
      <c r="G30" s="48"/>
      <c r="H30" s="75"/>
      <c r="J30" s="66" t="s">
        <v>184</v>
      </c>
      <c r="K30" s="80">
        <v>5.7300000000000022</v>
      </c>
    </row>
    <row r="31" spans="1:21" x14ac:dyDescent="0.3">
      <c r="A31" s="78" t="s">
        <v>185</v>
      </c>
      <c r="B31" s="60">
        <v>0.67191292848594097</v>
      </c>
      <c r="C31" s="65"/>
      <c r="D31" s="79"/>
      <c r="E31" s="65"/>
      <c r="F31" s="48"/>
      <c r="G31" s="48"/>
      <c r="H31" s="75"/>
    </row>
    <row r="32" spans="1:21" ht="15" thickBot="1" x14ac:dyDescent="0.35">
      <c r="A32" s="81" t="s">
        <v>186</v>
      </c>
      <c r="B32" s="67">
        <v>16.563329906273612</v>
      </c>
      <c r="C32" s="82"/>
      <c r="D32" s="82"/>
      <c r="E32" s="82"/>
      <c r="F32" s="68"/>
      <c r="G32" s="68"/>
      <c r="H32" s="83"/>
    </row>
    <row r="35" spans="1:21" ht="15" thickBot="1" x14ac:dyDescent="0.35">
      <c r="A35" s="155" t="s">
        <v>228</v>
      </c>
    </row>
    <row r="36" spans="1:21" ht="15" thickBot="1" x14ac:dyDescent="0.35">
      <c r="A36" s="214" t="s">
        <v>141</v>
      </c>
      <c r="B36" s="215"/>
      <c r="C36" s="41"/>
      <c r="D36" s="215" t="s">
        <v>142</v>
      </c>
      <c r="E36" s="215"/>
      <c r="F36" s="42"/>
      <c r="G36" s="216" t="s">
        <v>143</v>
      </c>
      <c r="H36" s="217"/>
      <c r="J36" s="218" t="s">
        <v>144</v>
      </c>
      <c r="K36" s="219"/>
      <c r="L36" s="42"/>
      <c r="M36" s="43"/>
      <c r="N36" s="44" t="s">
        <v>145</v>
      </c>
      <c r="O36" s="44" t="s">
        <v>146</v>
      </c>
      <c r="P36" s="44" t="s">
        <v>147</v>
      </c>
      <c r="Q36" s="44" t="s">
        <v>148</v>
      </c>
      <c r="R36" s="44" t="s">
        <v>149</v>
      </c>
      <c r="S36" s="44" t="s">
        <v>150</v>
      </c>
      <c r="T36" s="44" t="s">
        <v>151</v>
      </c>
      <c r="U36" s="45" t="s">
        <v>152</v>
      </c>
    </row>
    <row r="37" spans="1:21" ht="16.2" thickTop="1" x14ac:dyDescent="0.35">
      <c r="A37" s="46" t="s">
        <v>153</v>
      </c>
      <c r="B37" s="47">
        <v>4.68</v>
      </c>
      <c r="C37" s="48"/>
      <c r="D37" s="47" t="s">
        <v>154</v>
      </c>
      <c r="E37" s="47">
        <v>1.49</v>
      </c>
      <c r="F37" s="48"/>
      <c r="G37" s="49" t="s">
        <v>155</v>
      </c>
      <c r="H37" s="50">
        <v>-5.1307080300753674</v>
      </c>
      <c r="J37" s="51" t="s">
        <v>156</v>
      </c>
      <c r="K37" s="52">
        <v>0.11309931732470686</v>
      </c>
      <c r="L37" s="48"/>
      <c r="M37" s="49" t="s">
        <v>157</v>
      </c>
      <c r="N37" s="53">
        <v>670.50701756816818</v>
      </c>
      <c r="O37" s="53">
        <v>3133.9858770774049</v>
      </c>
      <c r="P37" s="53">
        <v>3133.9858770774049</v>
      </c>
      <c r="Q37" s="53">
        <v>3133.9858770774049</v>
      </c>
      <c r="R37" s="53">
        <v>3133.9858770774049</v>
      </c>
      <c r="S37" s="53">
        <v>3133.9858770774049</v>
      </c>
      <c r="T37" s="53">
        <v>675.37387839350492</v>
      </c>
      <c r="U37" s="54">
        <v>675.37387839350492</v>
      </c>
    </row>
    <row r="38" spans="1:21" x14ac:dyDescent="0.3">
      <c r="A38" s="55" t="s">
        <v>158</v>
      </c>
      <c r="B38" s="56">
        <v>1.0165824467570936</v>
      </c>
      <c r="C38" s="48"/>
      <c r="D38" s="12" t="s">
        <v>159</v>
      </c>
      <c r="E38" s="56">
        <v>1.9859148035606373</v>
      </c>
      <c r="F38" s="48"/>
      <c r="G38" s="57" t="s">
        <v>160</v>
      </c>
      <c r="H38" s="58">
        <v>50.99853515625</v>
      </c>
      <c r="J38" s="59" t="s">
        <v>161</v>
      </c>
      <c r="K38" s="60">
        <v>7.7437467627649337</v>
      </c>
      <c r="L38" s="48"/>
      <c r="M38" s="57" t="s">
        <v>162</v>
      </c>
      <c r="N38" s="61">
        <v>-0.13070803007536735</v>
      </c>
      <c r="O38" s="61">
        <v>80.365698964109299</v>
      </c>
      <c r="P38" s="61">
        <v>99.313295196614774</v>
      </c>
      <c r="Q38" s="61">
        <v>50.997217815587248</v>
      </c>
      <c r="R38" s="61">
        <v>50.882899446085219</v>
      </c>
      <c r="S38" s="61">
        <v>46.882899446085219</v>
      </c>
      <c r="T38" s="61">
        <v>-5.1925387194996802</v>
      </c>
      <c r="U38" s="62">
        <v>-5.1307080300753674</v>
      </c>
    </row>
    <row r="39" spans="1:21" ht="15.6" x14ac:dyDescent="0.35">
      <c r="A39" s="63" t="s">
        <v>163</v>
      </c>
      <c r="B39" s="64">
        <v>1.6</v>
      </c>
      <c r="C39" s="48"/>
      <c r="D39" s="64" t="s">
        <v>164</v>
      </c>
      <c r="E39" s="64">
        <v>1.2</v>
      </c>
      <c r="F39" s="48"/>
      <c r="G39" s="57" t="s">
        <v>165</v>
      </c>
      <c r="H39" s="58">
        <v>16.605034827981708</v>
      </c>
      <c r="J39" s="59" t="s">
        <v>165</v>
      </c>
      <c r="K39" s="60">
        <v>16.535897980296632</v>
      </c>
      <c r="L39" s="48"/>
      <c r="M39" s="57" t="s">
        <v>166</v>
      </c>
      <c r="N39" s="61">
        <v>425.19583403259509</v>
      </c>
      <c r="O39" s="61">
        <v>469.7412407547618</v>
      </c>
      <c r="P39" s="61">
        <v>493.66438844953046</v>
      </c>
      <c r="Q39" s="61">
        <v>421.3642760224447</v>
      </c>
      <c r="R39" s="61">
        <v>287.71970006104328</v>
      </c>
      <c r="S39" s="61">
        <v>278.98895700236284</v>
      </c>
      <c r="T39" s="61">
        <v>278.98895700236284</v>
      </c>
      <c r="U39" s="62">
        <v>419.74655534672939</v>
      </c>
    </row>
    <row r="40" spans="1:21" ht="16.2" thickBot="1" x14ac:dyDescent="0.4">
      <c r="A40" s="55" t="s">
        <v>167</v>
      </c>
      <c r="B40" s="12">
        <v>3.5950000000000002</v>
      </c>
      <c r="C40" s="65"/>
      <c r="D40" s="12" t="s">
        <v>168</v>
      </c>
      <c r="E40" s="12">
        <v>4.1900000000000004</v>
      </c>
      <c r="F40" s="48"/>
      <c r="G40" s="57" t="s">
        <v>169</v>
      </c>
      <c r="H40" s="58">
        <v>24.601917725526345</v>
      </c>
      <c r="J40" s="66" t="s">
        <v>169</v>
      </c>
      <c r="K40" s="67">
        <v>24.279644743061567</v>
      </c>
      <c r="L40" s="68"/>
      <c r="M40" s="69" t="s">
        <v>170</v>
      </c>
      <c r="N40" s="67">
        <v>1.8414844369168204</v>
      </c>
      <c r="O40" s="67">
        <v>1.8414844369168204</v>
      </c>
      <c r="P40" s="70"/>
      <c r="Q40" s="70"/>
      <c r="R40" s="70"/>
      <c r="S40" s="70"/>
      <c r="T40" s="70"/>
      <c r="U40" s="71"/>
    </row>
    <row r="41" spans="1:21" ht="15" thickBot="1" x14ac:dyDescent="0.35">
      <c r="A41" s="63" t="s">
        <v>171</v>
      </c>
      <c r="B41" s="64">
        <v>0</v>
      </c>
      <c r="C41" s="48"/>
      <c r="D41" s="64" t="s">
        <v>172</v>
      </c>
      <c r="E41" s="64">
        <v>40</v>
      </c>
      <c r="F41" s="48"/>
      <c r="G41" s="48"/>
      <c r="H41" s="72"/>
      <c r="J41" s="73" t="s">
        <v>173</v>
      </c>
      <c r="K41" s="74">
        <v>3.1353872339689515</v>
      </c>
    </row>
    <row r="42" spans="1:21" ht="15" thickBot="1" x14ac:dyDescent="0.35">
      <c r="A42" s="55" t="s">
        <v>174</v>
      </c>
      <c r="B42" s="12">
        <v>5</v>
      </c>
      <c r="C42" s="48"/>
      <c r="D42" s="12" t="s">
        <v>175</v>
      </c>
      <c r="E42" s="12">
        <v>4</v>
      </c>
      <c r="F42" s="48"/>
      <c r="G42" s="48"/>
      <c r="H42" s="75"/>
    </row>
    <row r="43" spans="1:21" x14ac:dyDescent="0.3">
      <c r="A43" s="12" t="s">
        <v>176</v>
      </c>
      <c r="B43" s="84">
        <f>B41-H39/B39/B40</f>
        <v>-2.886828029899462</v>
      </c>
      <c r="C43" s="48"/>
      <c r="D43" s="12" t="s">
        <v>177</v>
      </c>
      <c r="E43" s="84">
        <f>E41+H40/E39/E40</f>
        <v>44.892982841194581</v>
      </c>
      <c r="F43" s="48"/>
      <c r="G43" s="48"/>
      <c r="H43" s="75"/>
      <c r="J43" s="220" t="s">
        <v>178</v>
      </c>
      <c r="K43" s="221"/>
    </row>
    <row r="44" spans="1:21" ht="15" thickBot="1" x14ac:dyDescent="0.35">
      <c r="A44" s="212" t="s">
        <v>13</v>
      </c>
      <c r="B44" s="213"/>
      <c r="C44" s="65"/>
      <c r="D44" s="65"/>
      <c r="E44" s="65"/>
      <c r="F44" s="48"/>
      <c r="G44" s="48"/>
      <c r="H44" s="75"/>
      <c r="J44" s="59" t="s">
        <v>179</v>
      </c>
      <c r="K44" s="58">
        <v>4.8668608253367491</v>
      </c>
    </row>
    <row r="45" spans="1:21" ht="15" thickTop="1" x14ac:dyDescent="0.3">
      <c r="A45" s="46" t="s">
        <v>22</v>
      </c>
      <c r="B45" s="47" t="s">
        <v>21</v>
      </c>
      <c r="C45" s="65"/>
      <c r="D45" s="65"/>
      <c r="E45" s="65"/>
      <c r="F45" s="48"/>
      <c r="G45" s="48"/>
      <c r="H45" s="75"/>
      <c r="J45" s="59" t="s">
        <v>180</v>
      </c>
      <c r="K45" s="77">
        <v>15.701530303030307</v>
      </c>
    </row>
    <row r="46" spans="1:21" x14ac:dyDescent="0.3">
      <c r="A46" s="55" t="s">
        <v>181</v>
      </c>
      <c r="B46" s="12">
        <v>8.9</v>
      </c>
      <c r="C46" s="65"/>
      <c r="D46" s="65"/>
      <c r="E46" s="65"/>
      <c r="F46" s="48"/>
      <c r="G46" s="65"/>
      <c r="H46" s="75"/>
      <c r="J46" s="59" t="s">
        <v>182</v>
      </c>
      <c r="K46" s="77">
        <v>0</v>
      </c>
    </row>
    <row r="47" spans="1:21" ht="15" thickBot="1" x14ac:dyDescent="0.35">
      <c r="A47" s="78" t="s">
        <v>183</v>
      </c>
      <c r="B47" s="60">
        <v>0.92267180337153221</v>
      </c>
      <c r="C47" s="65"/>
      <c r="D47" s="79"/>
      <c r="E47" s="65"/>
      <c r="F47" s="48"/>
      <c r="G47" s="48"/>
      <c r="H47" s="75"/>
      <c r="J47" s="66" t="s">
        <v>184</v>
      </c>
      <c r="K47" s="80">
        <v>21.314000000000007</v>
      </c>
    </row>
    <row r="48" spans="1:21" x14ac:dyDescent="0.3">
      <c r="A48" s="78" t="s">
        <v>185</v>
      </c>
      <c r="B48" s="60">
        <v>0.65059657095883738</v>
      </c>
      <c r="C48" s="65"/>
      <c r="D48" s="79"/>
      <c r="E48" s="65"/>
      <c r="F48" s="48"/>
      <c r="G48" s="48"/>
      <c r="H48" s="75"/>
    </row>
    <row r="49" spans="1:21" ht="15" thickBot="1" x14ac:dyDescent="0.35">
      <c r="A49" s="81" t="s">
        <v>186</v>
      </c>
      <c r="B49" s="67">
        <v>16.423558100013274</v>
      </c>
      <c r="C49" s="82"/>
      <c r="D49" s="82"/>
      <c r="E49" s="82"/>
      <c r="F49" s="68"/>
      <c r="G49" s="68"/>
      <c r="H49" s="83"/>
    </row>
    <row r="51" spans="1:21" ht="15" thickBot="1" x14ac:dyDescent="0.35">
      <c r="A51" s="155" t="s">
        <v>229</v>
      </c>
    </row>
    <row r="52" spans="1:21" ht="15" thickBot="1" x14ac:dyDescent="0.35">
      <c r="A52" s="214" t="s">
        <v>141</v>
      </c>
      <c r="B52" s="215"/>
      <c r="C52" s="41"/>
      <c r="D52" s="215" t="s">
        <v>142</v>
      </c>
      <c r="E52" s="215"/>
      <c r="F52" s="42"/>
      <c r="G52" s="216" t="s">
        <v>143</v>
      </c>
      <c r="H52" s="217"/>
      <c r="J52" s="218" t="s">
        <v>144</v>
      </c>
      <c r="K52" s="219"/>
      <c r="L52" s="42"/>
      <c r="M52" s="43"/>
      <c r="N52" s="44" t="s">
        <v>145</v>
      </c>
      <c r="O52" s="44" t="s">
        <v>146</v>
      </c>
      <c r="P52" s="44" t="s">
        <v>147</v>
      </c>
      <c r="Q52" s="44" t="s">
        <v>148</v>
      </c>
      <c r="R52" s="44" t="s">
        <v>149</v>
      </c>
      <c r="S52" s="44" t="s">
        <v>150</v>
      </c>
      <c r="T52" s="44" t="s">
        <v>151</v>
      </c>
      <c r="U52" s="45" t="s">
        <v>152</v>
      </c>
    </row>
    <row r="53" spans="1:21" ht="16.2" thickTop="1" x14ac:dyDescent="0.35">
      <c r="A53" s="46" t="s">
        <v>153</v>
      </c>
      <c r="B53" s="47">
        <v>4.68</v>
      </c>
      <c r="C53" s="48"/>
      <c r="D53" s="47" t="s">
        <v>154</v>
      </c>
      <c r="E53" s="47">
        <v>1.49</v>
      </c>
      <c r="F53" s="48"/>
      <c r="G53" s="49" t="s">
        <v>155</v>
      </c>
      <c r="H53" s="50">
        <v>-1.6978094457356705</v>
      </c>
      <c r="J53" s="51" t="s">
        <v>156</v>
      </c>
      <c r="K53" s="52">
        <v>0.13038043020812534</v>
      </c>
      <c r="L53" s="48"/>
      <c r="M53" s="49" t="s">
        <v>157</v>
      </c>
      <c r="N53" s="53">
        <v>748.99129140742707</v>
      </c>
      <c r="O53" s="53">
        <v>2523.544090559104</v>
      </c>
      <c r="P53" s="53">
        <v>2523.544090559104</v>
      </c>
      <c r="Q53" s="53">
        <v>2523.544090559104</v>
      </c>
      <c r="R53" s="53">
        <v>2523.544090559104</v>
      </c>
      <c r="S53" s="53">
        <v>2523.544090559104</v>
      </c>
      <c r="T53" s="53">
        <v>755.75496936950015</v>
      </c>
      <c r="U53" s="54">
        <v>755.75496936950015</v>
      </c>
    </row>
    <row r="54" spans="1:21" x14ac:dyDescent="0.3">
      <c r="A54" s="55" t="s">
        <v>158</v>
      </c>
      <c r="B54" s="56">
        <v>1.0141226456337959</v>
      </c>
      <c r="C54" s="48"/>
      <c r="D54" s="12" t="s">
        <v>159</v>
      </c>
      <c r="E54" s="56">
        <v>2.2216415151206812</v>
      </c>
      <c r="F54" s="48"/>
      <c r="G54" s="57" t="s">
        <v>160</v>
      </c>
      <c r="H54" s="58">
        <v>41.75830078125</v>
      </c>
      <c r="J54" s="59" t="s">
        <v>161</v>
      </c>
      <c r="K54" s="60">
        <v>6.2793970772846937</v>
      </c>
      <c r="L54" s="48"/>
      <c r="M54" s="57" t="s">
        <v>162</v>
      </c>
      <c r="N54" s="61">
        <v>3.3021905542643295</v>
      </c>
      <c r="O54" s="61">
        <v>65.939781066101659</v>
      </c>
      <c r="P54" s="61">
        <v>76.871168395356847</v>
      </c>
      <c r="Q54" s="61">
        <v>41.761126089352956</v>
      </c>
      <c r="R54" s="61">
        <v>41.643017182943765</v>
      </c>
      <c r="S54" s="61">
        <v>37.643017182943765</v>
      </c>
      <c r="T54" s="61">
        <v>-1.7704999518109048</v>
      </c>
      <c r="U54" s="62">
        <v>-1.6978094457356705</v>
      </c>
    </row>
    <row r="55" spans="1:21" ht="15.6" x14ac:dyDescent="0.35">
      <c r="A55" s="63" t="s">
        <v>163</v>
      </c>
      <c r="B55" s="64">
        <v>1.6</v>
      </c>
      <c r="C55" s="48"/>
      <c r="D55" s="64" t="s">
        <v>164</v>
      </c>
      <c r="E55" s="64">
        <v>1.2</v>
      </c>
      <c r="F55" s="48"/>
      <c r="G55" s="57" t="s">
        <v>165</v>
      </c>
      <c r="H55" s="58">
        <v>21.643282680379354</v>
      </c>
      <c r="J55" s="59" t="s">
        <v>165</v>
      </c>
      <c r="K55" s="60">
        <v>21.484625513308501</v>
      </c>
      <c r="L55" s="48"/>
      <c r="M55" s="57" t="s">
        <v>166</v>
      </c>
      <c r="N55" s="61">
        <v>426.49748291616231</v>
      </c>
      <c r="O55" s="61">
        <v>461.11342940612843</v>
      </c>
      <c r="P55" s="61">
        <v>474.65959641173015</v>
      </c>
      <c r="Q55" s="61">
        <v>425.05059177839178</v>
      </c>
      <c r="R55" s="61">
        <v>269.40626556619145</v>
      </c>
      <c r="S55" s="61">
        <v>261.7133548149377</v>
      </c>
      <c r="T55" s="61">
        <v>261.7133548149377</v>
      </c>
      <c r="U55" s="62">
        <v>420.86362268896306</v>
      </c>
    </row>
    <row r="56" spans="1:21" ht="16.2" thickBot="1" x14ac:dyDescent="0.4">
      <c r="A56" s="55" t="s">
        <v>167</v>
      </c>
      <c r="B56" s="12">
        <v>3.5950000000000002</v>
      </c>
      <c r="C56" s="65"/>
      <c r="D56" s="12" t="s">
        <v>168</v>
      </c>
      <c r="E56" s="12">
        <v>4.1900000000000004</v>
      </c>
      <c r="F56" s="48"/>
      <c r="G56" s="57" t="s">
        <v>169</v>
      </c>
      <c r="H56" s="58">
        <v>28.509666871390671</v>
      </c>
      <c r="J56" s="66" t="s">
        <v>169</v>
      </c>
      <c r="K56" s="67">
        <v>27.764022590593196</v>
      </c>
      <c r="L56" s="68"/>
      <c r="M56" s="69" t="s">
        <v>170</v>
      </c>
      <c r="N56" s="67">
        <v>1.8353183048212836</v>
      </c>
      <c r="O56" s="67">
        <v>1.8353183048212836</v>
      </c>
      <c r="P56" s="70"/>
      <c r="Q56" s="70"/>
      <c r="R56" s="70"/>
      <c r="S56" s="70"/>
      <c r="T56" s="70"/>
      <c r="U56" s="71"/>
    </row>
    <row r="57" spans="1:21" ht="15" thickBot="1" x14ac:dyDescent="0.35">
      <c r="A57" s="63" t="s">
        <v>171</v>
      </c>
      <c r="B57" s="64">
        <v>5</v>
      </c>
      <c r="C57" s="48"/>
      <c r="D57" s="64" t="s">
        <v>172</v>
      </c>
      <c r="E57" s="64">
        <v>30</v>
      </c>
      <c r="F57" s="48"/>
      <c r="G57" s="48"/>
      <c r="H57" s="72"/>
      <c r="J57" s="73" t="s">
        <v>173</v>
      </c>
      <c r="K57" s="74">
        <v>4.421447194512945</v>
      </c>
    </row>
    <row r="58" spans="1:21" ht="15" thickBot="1" x14ac:dyDescent="0.35">
      <c r="A58" s="55" t="s">
        <v>174</v>
      </c>
      <c r="B58" s="12">
        <v>5</v>
      </c>
      <c r="C58" s="48"/>
      <c r="D58" s="12" t="s">
        <v>175</v>
      </c>
      <c r="E58" s="12">
        <v>4</v>
      </c>
      <c r="F58" s="48"/>
      <c r="G58" s="48"/>
      <c r="H58" s="75"/>
    </row>
    <row r="59" spans="1:21" x14ac:dyDescent="0.3">
      <c r="A59" s="12" t="s">
        <v>176</v>
      </c>
      <c r="B59" s="84">
        <f>B57-H55/B55/B56</f>
        <v>1.2372596174583883</v>
      </c>
      <c r="C59" s="48"/>
      <c r="D59" s="12" t="s">
        <v>177</v>
      </c>
      <c r="E59" s="84">
        <f>E57+H56/E55/E56</f>
        <v>35.670180364238398</v>
      </c>
      <c r="F59" s="48"/>
      <c r="G59" s="48"/>
      <c r="H59" s="75"/>
      <c r="J59" s="220" t="s">
        <v>178</v>
      </c>
      <c r="K59" s="221"/>
    </row>
    <row r="60" spans="1:21" ht="15" thickBot="1" x14ac:dyDescent="0.35">
      <c r="A60" s="212" t="s">
        <v>13</v>
      </c>
      <c r="B60" s="213"/>
      <c r="C60" s="65"/>
      <c r="D60" s="65"/>
      <c r="E60" s="65"/>
      <c r="F60" s="48"/>
      <c r="G60" s="48"/>
      <c r="H60" s="75"/>
      <c r="J60" s="59" t="s">
        <v>179</v>
      </c>
      <c r="K60" s="58">
        <v>6.7636779620730865</v>
      </c>
    </row>
    <row r="61" spans="1:21" ht="15" thickTop="1" x14ac:dyDescent="0.3">
      <c r="A61" s="46" t="s">
        <v>22</v>
      </c>
      <c r="B61" s="47" t="s">
        <v>21</v>
      </c>
      <c r="C61" s="65"/>
      <c r="D61" s="65"/>
      <c r="E61" s="65"/>
      <c r="F61" s="48"/>
      <c r="G61" s="48"/>
      <c r="H61" s="75"/>
      <c r="J61" s="59" t="s">
        <v>180</v>
      </c>
      <c r="K61" s="77">
        <v>15.701530303030307</v>
      </c>
    </row>
    <row r="62" spans="1:21" x14ac:dyDescent="0.3">
      <c r="A62" s="55" t="s">
        <v>181</v>
      </c>
      <c r="B62" s="12">
        <v>8.9</v>
      </c>
      <c r="C62" s="65"/>
      <c r="D62" s="65"/>
      <c r="E62" s="65"/>
      <c r="F62" s="48"/>
      <c r="G62" s="65"/>
      <c r="H62" s="75"/>
      <c r="J62" s="59" t="s">
        <v>182</v>
      </c>
      <c r="K62" s="77">
        <v>0</v>
      </c>
    </row>
    <row r="63" spans="1:21" ht="15" thickBot="1" x14ac:dyDescent="0.35">
      <c r="A63" s="78" t="s">
        <v>183</v>
      </c>
      <c r="B63" s="60">
        <v>0.95323529759214576</v>
      </c>
      <c r="C63" s="65"/>
      <c r="D63" s="79"/>
      <c r="E63" s="65"/>
      <c r="F63" s="48"/>
      <c r="G63" s="48"/>
      <c r="H63" s="75"/>
      <c r="J63" s="66" t="s">
        <v>184</v>
      </c>
      <c r="K63" s="80">
        <v>21.314000000000007</v>
      </c>
    </row>
    <row r="64" spans="1:21" x14ac:dyDescent="0.3">
      <c r="A64" s="78" t="s">
        <v>185</v>
      </c>
      <c r="B64" s="60">
        <v>0.71873811129886755</v>
      </c>
      <c r="C64" s="65"/>
      <c r="D64" s="79"/>
      <c r="E64" s="65"/>
      <c r="F64" s="48"/>
      <c r="G64" s="48"/>
      <c r="H64" s="75"/>
    </row>
    <row r="65" spans="1:21" ht="15" thickBot="1" x14ac:dyDescent="0.35">
      <c r="A65" s="81" t="s">
        <v>186</v>
      </c>
      <c r="B65" s="67">
        <v>16.967588297140196</v>
      </c>
      <c r="C65" s="82"/>
      <c r="D65" s="82"/>
      <c r="E65" s="82"/>
      <c r="F65" s="68"/>
      <c r="G65" s="68"/>
      <c r="H65" s="83"/>
    </row>
    <row r="67" spans="1:21" ht="15" thickBot="1" x14ac:dyDescent="0.35">
      <c r="A67" s="155" t="s">
        <v>230</v>
      </c>
    </row>
    <row r="68" spans="1:21" ht="15" thickBot="1" x14ac:dyDescent="0.35">
      <c r="A68" s="214" t="s">
        <v>141</v>
      </c>
      <c r="B68" s="215"/>
      <c r="C68" s="41"/>
      <c r="D68" s="215" t="s">
        <v>142</v>
      </c>
      <c r="E68" s="215"/>
      <c r="F68" s="42"/>
      <c r="G68" s="216" t="s">
        <v>143</v>
      </c>
      <c r="H68" s="217"/>
      <c r="J68" s="218" t="s">
        <v>144</v>
      </c>
      <c r="K68" s="219"/>
      <c r="L68" s="42"/>
      <c r="M68" s="43"/>
      <c r="N68" s="44" t="s">
        <v>145</v>
      </c>
      <c r="O68" s="44" t="s">
        <v>146</v>
      </c>
      <c r="P68" s="44" t="s">
        <v>147</v>
      </c>
      <c r="Q68" s="44" t="s">
        <v>148</v>
      </c>
      <c r="R68" s="44" t="s">
        <v>149</v>
      </c>
      <c r="S68" s="44" t="s">
        <v>150</v>
      </c>
      <c r="T68" s="44" t="s">
        <v>151</v>
      </c>
      <c r="U68" s="45" t="s">
        <v>152</v>
      </c>
    </row>
    <row r="69" spans="1:21" ht="16.2" thickTop="1" x14ac:dyDescent="0.35">
      <c r="A69" s="46" t="s">
        <v>153</v>
      </c>
      <c r="B69" s="47">
        <v>4.68</v>
      </c>
      <c r="C69" s="48"/>
      <c r="D69" s="47" t="s">
        <v>154</v>
      </c>
      <c r="E69" s="47">
        <v>1.49</v>
      </c>
      <c r="F69" s="48"/>
      <c r="G69" s="49" t="s">
        <v>155</v>
      </c>
      <c r="H69" s="50">
        <v>-1.9588235428726339</v>
      </c>
      <c r="J69" s="51" t="s">
        <v>156</v>
      </c>
      <c r="K69" s="52">
        <v>0.12901565255168132</v>
      </c>
      <c r="L69" s="48"/>
      <c r="M69" s="49" t="s">
        <v>157</v>
      </c>
      <c r="N69" s="53">
        <v>742.81619326284465</v>
      </c>
      <c r="O69" s="53">
        <v>2575.6616376233956</v>
      </c>
      <c r="P69" s="53">
        <v>2575.6616376233956</v>
      </c>
      <c r="Q69" s="53">
        <v>2575.6616376233956</v>
      </c>
      <c r="R69" s="53">
        <v>2575.6616376233956</v>
      </c>
      <c r="S69" s="53">
        <v>2575.6616376233956</v>
      </c>
      <c r="T69" s="53">
        <v>749.40127369808056</v>
      </c>
      <c r="U69" s="54">
        <v>749.40127369808056</v>
      </c>
    </row>
    <row r="70" spans="1:21" x14ac:dyDescent="0.3">
      <c r="A70" s="55" t="s">
        <v>158</v>
      </c>
      <c r="B70" s="56">
        <v>0.99983511109852841</v>
      </c>
      <c r="C70" s="48"/>
      <c r="D70" s="12" t="s">
        <v>159</v>
      </c>
      <c r="E70" s="56">
        <v>2.1452357364857364</v>
      </c>
      <c r="F70" s="48"/>
      <c r="G70" s="57" t="s">
        <v>160</v>
      </c>
      <c r="H70" s="58">
        <v>42.61083984375</v>
      </c>
      <c r="J70" s="59" t="s">
        <v>161</v>
      </c>
      <c r="K70" s="60">
        <v>6.4020738653052236</v>
      </c>
      <c r="L70" s="48"/>
      <c r="M70" s="57" t="s">
        <v>162</v>
      </c>
      <c r="N70" s="61">
        <v>3.0411764571273663</v>
      </c>
      <c r="O70" s="61">
        <v>67.245621199461709</v>
      </c>
      <c r="P70" s="61">
        <v>78.63418767546824</v>
      </c>
      <c r="Q70" s="61">
        <v>42.613205319935275</v>
      </c>
      <c r="R70" s="61">
        <v>42.495332438267098</v>
      </c>
      <c r="S70" s="61">
        <v>38.495332438267098</v>
      </c>
      <c r="T70" s="61">
        <v>-2.0305361943072171</v>
      </c>
      <c r="U70" s="62">
        <v>-1.9588235428726339</v>
      </c>
    </row>
    <row r="71" spans="1:21" ht="15.6" x14ac:dyDescent="0.35">
      <c r="A71" s="63" t="s">
        <v>163</v>
      </c>
      <c r="B71" s="64">
        <v>1.4</v>
      </c>
      <c r="C71" s="48"/>
      <c r="D71" s="64" t="s">
        <v>164</v>
      </c>
      <c r="E71" s="64">
        <v>1</v>
      </c>
      <c r="F71" s="48"/>
      <c r="G71" s="57" t="s">
        <v>165</v>
      </c>
      <c r="H71" s="58">
        <v>21.19987250493886</v>
      </c>
      <c r="J71" s="59" t="s">
        <v>165</v>
      </c>
      <c r="K71" s="60">
        <v>21.047972140309113</v>
      </c>
      <c r="L71" s="48"/>
      <c r="M71" s="57" t="s">
        <v>166</v>
      </c>
      <c r="N71" s="61">
        <v>426.39992853736175</v>
      </c>
      <c r="O71" s="61">
        <v>461.87558240019121</v>
      </c>
      <c r="P71" s="61">
        <v>476.02238704285719</v>
      </c>
      <c r="Q71" s="61">
        <v>424.82591270278425</v>
      </c>
      <c r="R71" s="61">
        <v>271.02255307116138</v>
      </c>
      <c r="S71" s="61">
        <v>263.25714916121063</v>
      </c>
      <c r="T71" s="61">
        <v>263.25714916121063</v>
      </c>
      <c r="U71" s="62">
        <v>420.78132769770309</v>
      </c>
    </row>
    <row r="72" spans="1:21" ht="16.2" thickBot="1" x14ac:dyDescent="0.4">
      <c r="A72" s="55" t="s">
        <v>167</v>
      </c>
      <c r="B72" s="12">
        <v>3.5950000000000002</v>
      </c>
      <c r="C72" s="65"/>
      <c r="D72" s="12" t="s">
        <v>168</v>
      </c>
      <c r="E72" s="12">
        <v>4.1900000000000004</v>
      </c>
      <c r="F72" s="48"/>
      <c r="G72" s="57" t="s">
        <v>169</v>
      </c>
      <c r="H72" s="58">
        <v>28.207604925415605</v>
      </c>
      <c r="J72" s="66" t="s">
        <v>169</v>
      </c>
      <c r="K72" s="67">
        <v>27.450046005614336</v>
      </c>
      <c r="L72" s="68"/>
      <c r="M72" s="69" t="s">
        <v>170</v>
      </c>
      <c r="N72" s="67">
        <v>1.8357764386086013</v>
      </c>
      <c r="O72" s="67">
        <v>1.8357764386086013</v>
      </c>
      <c r="P72" s="70"/>
      <c r="Q72" s="70"/>
      <c r="R72" s="70"/>
      <c r="S72" s="70"/>
      <c r="T72" s="70"/>
      <c r="U72" s="71"/>
    </row>
    <row r="73" spans="1:21" ht="15" thickBot="1" x14ac:dyDescent="0.35">
      <c r="A73" s="63" t="s">
        <v>171</v>
      </c>
      <c r="B73" s="64">
        <v>5</v>
      </c>
      <c r="C73" s="48"/>
      <c r="D73" s="64" t="s">
        <v>172</v>
      </c>
      <c r="E73" s="64">
        <v>30</v>
      </c>
      <c r="F73" s="48"/>
      <c r="G73" s="48"/>
      <c r="H73" s="72"/>
      <c r="J73" s="73" t="s">
        <v>173</v>
      </c>
      <c r="K73" s="74">
        <v>4.2876803022180745</v>
      </c>
    </row>
    <row r="74" spans="1:21" ht="15" thickBot="1" x14ac:dyDescent="0.35">
      <c r="A74" s="55" t="s">
        <v>174</v>
      </c>
      <c r="B74" s="12">
        <v>5</v>
      </c>
      <c r="C74" s="48"/>
      <c r="D74" s="12" t="s">
        <v>175</v>
      </c>
      <c r="E74" s="12">
        <v>4</v>
      </c>
      <c r="F74" s="48"/>
      <c r="G74" s="48"/>
      <c r="H74" s="75"/>
    </row>
    <row r="75" spans="1:21" x14ac:dyDescent="0.3">
      <c r="A75" s="12" t="s">
        <v>176</v>
      </c>
      <c r="B75" s="84">
        <f>B73-H71/B71/B72</f>
        <v>0.78782584841270431</v>
      </c>
      <c r="C75" s="48"/>
      <c r="D75" s="12" t="s">
        <v>177</v>
      </c>
      <c r="E75" s="84">
        <f>E73+H72/E71/E72</f>
        <v>36.732125280528784</v>
      </c>
      <c r="F75" s="48"/>
      <c r="G75" s="48"/>
      <c r="H75" s="75"/>
      <c r="J75" s="220" t="s">
        <v>178</v>
      </c>
      <c r="K75" s="221"/>
    </row>
    <row r="76" spans="1:21" ht="15" thickBot="1" x14ac:dyDescent="0.35">
      <c r="A76" s="212" t="s">
        <v>13</v>
      </c>
      <c r="B76" s="213"/>
      <c r="C76" s="65"/>
      <c r="D76" s="65"/>
      <c r="E76" s="65"/>
      <c r="F76" s="48"/>
      <c r="G76" s="48"/>
      <c r="H76" s="75"/>
      <c r="J76" s="59" t="s">
        <v>179</v>
      </c>
      <c r="K76" s="58">
        <v>6.5850804352358576</v>
      </c>
    </row>
    <row r="77" spans="1:21" ht="15" thickTop="1" x14ac:dyDescent="0.3">
      <c r="A77" s="46" t="s">
        <v>22</v>
      </c>
      <c r="B77" s="47" t="s">
        <v>21</v>
      </c>
      <c r="C77" s="65"/>
      <c r="D77" s="65"/>
      <c r="E77" s="65"/>
      <c r="F77" s="48"/>
      <c r="G77" s="48"/>
      <c r="H77" s="75"/>
      <c r="J77" s="59" t="s">
        <v>180</v>
      </c>
      <c r="K77" s="77">
        <v>12.36109090909091</v>
      </c>
    </row>
    <row r="78" spans="1:21" x14ac:dyDescent="0.3">
      <c r="A78" s="55" t="s">
        <v>181</v>
      </c>
      <c r="B78" s="12">
        <v>8.9</v>
      </c>
      <c r="C78" s="65"/>
      <c r="D78" s="65"/>
      <c r="E78" s="65"/>
      <c r="F78" s="48"/>
      <c r="G78" s="65"/>
      <c r="H78" s="75"/>
      <c r="J78" s="59" t="s">
        <v>182</v>
      </c>
      <c r="K78" s="77">
        <v>0</v>
      </c>
    </row>
    <row r="79" spans="1:21" ht="15" thickBot="1" x14ac:dyDescent="0.35">
      <c r="A79" s="78" t="s">
        <v>183</v>
      </c>
      <c r="B79" s="60">
        <v>0.9510397648906237</v>
      </c>
      <c r="C79" s="65"/>
      <c r="D79" s="79"/>
      <c r="E79" s="65"/>
      <c r="F79" s="48"/>
      <c r="G79" s="48"/>
      <c r="H79" s="75"/>
      <c r="J79" s="66" t="s">
        <v>184</v>
      </c>
      <c r="K79" s="80">
        <v>16.578000000000003</v>
      </c>
    </row>
    <row r="80" spans="1:21" x14ac:dyDescent="0.3">
      <c r="A80" s="78" t="s">
        <v>185</v>
      </c>
      <c r="B80" s="60">
        <v>0.71491125049559412</v>
      </c>
      <c r="C80" s="65"/>
      <c r="D80" s="79"/>
      <c r="E80" s="65"/>
      <c r="F80" s="48"/>
      <c r="G80" s="48"/>
      <c r="H80" s="75"/>
    </row>
    <row r="81" spans="1:21" ht="15" thickBot="1" x14ac:dyDescent="0.35">
      <c r="A81" s="81" t="s">
        <v>186</v>
      </c>
      <c r="B81" s="67">
        <v>16.928507815053102</v>
      </c>
      <c r="C81" s="82"/>
      <c r="D81" s="82"/>
      <c r="E81" s="82"/>
      <c r="F81" s="68"/>
      <c r="G81" s="68"/>
      <c r="H81" s="83"/>
    </row>
    <row r="82" spans="1:21" s="89" customFormat="1" x14ac:dyDescent="0.3">
      <c r="A82" s="156"/>
      <c r="B82" s="157"/>
      <c r="C82" s="65"/>
      <c r="D82" s="65"/>
      <c r="E82" s="65"/>
      <c r="F82" s="65"/>
      <c r="G82" s="65"/>
      <c r="H82" s="65"/>
    </row>
    <row r="83" spans="1:21" ht="15" thickBot="1" x14ac:dyDescent="0.35">
      <c r="A83" s="155" t="s">
        <v>231</v>
      </c>
    </row>
    <row r="84" spans="1:21" ht="15" thickBot="1" x14ac:dyDescent="0.35">
      <c r="A84" s="214" t="s">
        <v>141</v>
      </c>
      <c r="B84" s="215"/>
      <c r="C84" s="41"/>
      <c r="D84" s="215" t="s">
        <v>142</v>
      </c>
      <c r="E84" s="215"/>
      <c r="F84" s="42"/>
      <c r="G84" s="216" t="s">
        <v>143</v>
      </c>
      <c r="H84" s="217"/>
      <c r="J84" s="218" t="s">
        <v>144</v>
      </c>
      <c r="K84" s="219"/>
      <c r="L84" s="42"/>
      <c r="M84" s="43"/>
      <c r="N84" s="44" t="s">
        <v>145</v>
      </c>
      <c r="O84" s="44" t="s">
        <v>146</v>
      </c>
      <c r="P84" s="44" t="s">
        <v>147</v>
      </c>
      <c r="Q84" s="44" t="s">
        <v>148</v>
      </c>
      <c r="R84" s="44" t="s">
        <v>149</v>
      </c>
      <c r="S84" s="44" t="s">
        <v>150</v>
      </c>
      <c r="T84" s="44" t="s">
        <v>151</v>
      </c>
      <c r="U84" s="45" t="s">
        <v>152</v>
      </c>
    </row>
    <row r="85" spans="1:21" ht="16.2" thickTop="1" x14ac:dyDescent="0.35">
      <c r="A85" s="46" t="s">
        <v>153</v>
      </c>
      <c r="B85" s="47">
        <v>4.68</v>
      </c>
      <c r="C85" s="48"/>
      <c r="D85" s="47" t="s">
        <v>154</v>
      </c>
      <c r="E85" s="47">
        <v>1.49</v>
      </c>
      <c r="F85" s="48"/>
      <c r="G85" s="49" t="s">
        <v>155</v>
      </c>
      <c r="H85" s="50">
        <v>-3.401772328225503</v>
      </c>
      <c r="J85" s="51" t="s">
        <v>156</v>
      </c>
      <c r="K85" s="52">
        <v>6.2146876308956135E-2</v>
      </c>
      <c r="L85" s="48"/>
      <c r="M85" s="49" t="s">
        <v>157</v>
      </c>
      <c r="N85" s="53">
        <v>711.99381253821741</v>
      </c>
      <c r="O85" s="53">
        <v>2280.2099289205044</v>
      </c>
      <c r="P85" s="53">
        <v>2280.2099289205044</v>
      </c>
      <c r="Q85" s="53">
        <v>2280.2099289205044</v>
      </c>
      <c r="R85" s="53">
        <v>2280.2099289205044</v>
      </c>
      <c r="S85" s="53">
        <v>2280.2099289205044</v>
      </c>
      <c r="T85" s="53">
        <v>715.00208412594361</v>
      </c>
      <c r="U85" s="54">
        <v>715.00208412594361</v>
      </c>
    </row>
    <row r="86" spans="1:21" x14ac:dyDescent="0.3">
      <c r="A86" s="55" t="s">
        <v>158</v>
      </c>
      <c r="B86" s="56">
        <v>0.97037037217552891</v>
      </c>
      <c r="C86" s="48"/>
      <c r="D86" s="12" t="s">
        <v>159</v>
      </c>
      <c r="E86" s="56">
        <v>1.5035525901567575</v>
      </c>
      <c r="F86" s="48"/>
      <c r="G86" s="57" t="s">
        <v>160</v>
      </c>
      <c r="H86" s="58">
        <v>37.589599609375</v>
      </c>
      <c r="J86" s="59" t="s">
        <v>161</v>
      </c>
      <c r="K86" s="60">
        <v>2.857845667578141</v>
      </c>
      <c r="L86" s="48"/>
      <c r="M86" s="57" t="s">
        <v>162</v>
      </c>
      <c r="N86" s="61">
        <v>1.598227671774497</v>
      </c>
      <c r="O86" s="61">
        <v>60.764172429829216</v>
      </c>
      <c r="P86" s="61">
        <v>71.385977870447334</v>
      </c>
      <c r="Q86" s="61">
        <v>37.594816297738305</v>
      </c>
      <c r="R86" s="61">
        <v>37.476239405099022</v>
      </c>
      <c r="S86" s="61">
        <v>33.476239405099022</v>
      </c>
      <c r="T86" s="61">
        <v>-3.4760704261147453</v>
      </c>
      <c r="U86" s="62">
        <v>-3.401772328225503</v>
      </c>
    </row>
    <row r="87" spans="1:21" ht="15.6" x14ac:dyDescent="0.35">
      <c r="A87" s="63" t="s">
        <v>163</v>
      </c>
      <c r="B87" s="64">
        <v>1.6</v>
      </c>
      <c r="C87" s="48"/>
      <c r="D87" s="64" t="s">
        <v>164</v>
      </c>
      <c r="E87" s="64">
        <v>1.2</v>
      </c>
      <c r="F87" s="48"/>
      <c r="G87" s="57" t="s">
        <v>165</v>
      </c>
      <c r="H87" s="58">
        <v>10.681095468755187</v>
      </c>
      <c r="J87" s="59" t="s">
        <v>165</v>
      </c>
      <c r="K87" s="60">
        <v>10.657406283499023</v>
      </c>
      <c r="L87" s="48"/>
      <c r="M87" s="57" t="s">
        <v>166</v>
      </c>
      <c r="N87" s="61">
        <v>425.77762607149356</v>
      </c>
      <c r="O87" s="61">
        <v>458.9032320696632</v>
      </c>
      <c r="P87" s="61">
        <v>471.76297299980394</v>
      </c>
      <c r="Q87" s="61">
        <v>425.88537564593287</v>
      </c>
      <c r="R87" s="61">
        <v>261.67231190060994</v>
      </c>
      <c r="S87" s="61">
        <v>254.29022531273395</v>
      </c>
      <c r="T87" s="61">
        <v>254.29022531273395</v>
      </c>
      <c r="U87" s="62">
        <v>420.31844269533184</v>
      </c>
    </row>
    <row r="88" spans="1:21" ht="16.2" thickBot="1" x14ac:dyDescent="0.4">
      <c r="A88" s="55" t="s">
        <v>167</v>
      </c>
      <c r="B88" s="12">
        <v>3.5950000000000002</v>
      </c>
      <c r="C88" s="65"/>
      <c r="D88" s="12" t="s">
        <v>168</v>
      </c>
      <c r="E88" s="12">
        <v>4.1900000000000004</v>
      </c>
      <c r="F88" s="48"/>
      <c r="G88" s="57" t="s">
        <v>169</v>
      </c>
      <c r="H88" s="58">
        <v>13.718346047405616</v>
      </c>
      <c r="J88" s="66" t="s">
        <v>169</v>
      </c>
      <c r="K88" s="67">
        <v>13.515251951077165</v>
      </c>
      <c r="L88" s="68"/>
      <c r="M88" s="69" t="s">
        <v>170</v>
      </c>
      <c r="N88" s="67">
        <v>1.8376802818201168</v>
      </c>
      <c r="O88" s="67">
        <v>1.8376802818201168</v>
      </c>
      <c r="P88" s="70"/>
      <c r="Q88" s="70"/>
      <c r="R88" s="70"/>
      <c r="S88" s="70"/>
      <c r="T88" s="70"/>
      <c r="U88" s="71"/>
    </row>
    <row r="89" spans="1:21" ht="15" thickBot="1" x14ac:dyDescent="0.35">
      <c r="A89" s="63" t="s">
        <v>171</v>
      </c>
      <c r="B89" s="64">
        <v>0</v>
      </c>
      <c r="C89" s="48"/>
      <c r="D89" s="64" t="s">
        <v>172</v>
      </c>
      <c r="E89" s="64">
        <v>30</v>
      </c>
      <c r="F89" s="48"/>
      <c r="G89" s="48"/>
      <c r="H89" s="72"/>
      <c r="J89" s="73" t="s">
        <v>173</v>
      </c>
      <c r="K89" s="74">
        <v>4.7291748831666478</v>
      </c>
    </row>
    <row r="90" spans="1:21" ht="15" thickBot="1" x14ac:dyDescent="0.35">
      <c r="A90" s="55" t="s">
        <v>174</v>
      </c>
      <c r="B90" s="12">
        <v>5</v>
      </c>
      <c r="C90" s="48"/>
      <c r="D90" s="12" t="s">
        <v>175</v>
      </c>
      <c r="E90" s="12">
        <v>4</v>
      </c>
      <c r="F90" s="48"/>
      <c r="G90" s="48"/>
      <c r="H90" s="75"/>
    </row>
    <row r="91" spans="1:21" x14ac:dyDescent="0.3">
      <c r="A91" s="12" t="s">
        <v>176</v>
      </c>
      <c r="B91" s="84">
        <f>B89-H87/B87/B88</f>
        <v>-1.8569359298948513</v>
      </c>
      <c r="C91" s="48"/>
      <c r="D91" s="12" t="s">
        <v>177</v>
      </c>
      <c r="E91" s="84">
        <f>E89+H88/E87/E88</f>
        <v>32.728390224225464</v>
      </c>
      <c r="F91" s="48"/>
      <c r="G91" s="48"/>
      <c r="H91" s="75"/>
      <c r="J91" s="220" t="s">
        <v>178</v>
      </c>
      <c r="K91" s="221"/>
    </row>
    <row r="92" spans="1:21" ht="15" thickBot="1" x14ac:dyDescent="0.35">
      <c r="A92" s="212" t="s">
        <v>13</v>
      </c>
      <c r="B92" s="213"/>
      <c r="C92" s="65"/>
      <c r="D92" s="65"/>
      <c r="E92" s="65"/>
      <c r="F92" s="48"/>
      <c r="G92" s="48"/>
      <c r="H92" s="75"/>
      <c r="J92" s="59" t="s">
        <v>179</v>
      </c>
      <c r="K92" s="58">
        <v>3.0082715877262478</v>
      </c>
    </row>
    <row r="93" spans="1:21" ht="15" thickTop="1" x14ac:dyDescent="0.3">
      <c r="A93" s="46" t="s">
        <v>22</v>
      </c>
      <c r="B93" s="47" t="s">
        <v>21</v>
      </c>
      <c r="C93" s="65"/>
      <c r="D93" s="65"/>
      <c r="E93" s="65"/>
      <c r="F93" s="48"/>
      <c r="G93" s="48"/>
      <c r="H93" s="75"/>
      <c r="J93" s="59" t="s">
        <v>180</v>
      </c>
      <c r="K93" s="77">
        <v>15.701530303030307</v>
      </c>
    </row>
    <row r="94" spans="1:21" x14ac:dyDescent="0.3">
      <c r="A94" s="55" t="s">
        <v>181</v>
      </c>
      <c r="B94" s="12">
        <v>8.9</v>
      </c>
      <c r="C94" s="65"/>
      <c r="D94" s="65"/>
      <c r="E94" s="65"/>
      <c r="F94" s="48"/>
      <c r="G94" s="65"/>
      <c r="H94" s="75"/>
      <c r="J94" s="59" t="s">
        <v>182</v>
      </c>
      <c r="K94" s="77">
        <v>0</v>
      </c>
    </row>
    <row r="95" spans="1:21" ht="15" thickBot="1" x14ac:dyDescent="0.35">
      <c r="A95" s="78" t="s">
        <v>183</v>
      </c>
      <c r="B95" s="60">
        <v>0.95482123566084587</v>
      </c>
      <c r="C95" s="65"/>
      <c r="D95" s="79"/>
      <c r="E95" s="65"/>
      <c r="F95" s="48"/>
      <c r="G95" s="48"/>
      <c r="H95" s="75"/>
      <c r="J95" s="66" t="s">
        <v>184</v>
      </c>
      <c r="K95" s="80">
        <v>21.314000000000007</v>
      </c>
    </row>
    <row r="96" spans="1:21" x14ac:dyDescent="0.3">
      <c r="A96" s="78" t="s">
        <v>185</v>
      </c>
      <c r="B96" s="60">
        <v>0.72035133386753336</v>
      </c>
      <c r="C96" s="65"/>
      <c r="D96" s="79"/>
      <c r="E96" s="65"/>
      <c r="F96" s="48"/>
      <c r="G96" s="48"/>
      <c r="H96" s="75"/>
    </row>
    <row r="97" spans="1:21" ht="15" thickBot="1" x14ac:dyDescent="0.35">
      <c r="A97" s="81" t="s">
        <v>186</v>
      </c>
      <c r="B97" s="67">
        <v>8.4979089973815292</v>
      </c>
      <c r="C97" s="82"/>
      <c r="D97" s="82"/>
      <c r="E97" s="82"/>
      <c r="F97" s="68"/>
      <c r="G97" s="68"/>
      <c r="H97" s="83"/>
    </row>
    <row r="98" spans="1:21" s="89" customFormat="1" x14ac:dyDescent="0.3">
      <c r="A98" s="156"/>
      <c r="B98" s="157"/>
      <c r="C98" s="65"/>
      <c r="D98" s="65"/>
      <c r="E98" s="65"/>
      <c r="F98" s="65"/>
      <c r="G98" s="65"/>
      <c r="H98" s="65"/>
    </row>
    <row r="99" spans="1:21" ht="15" thickBot="1" x14ac:dyDescent="0.35">
      <c r="A99" s="155" t="s">
        <v>232</v>
      </c>
    </row>
    <row r="100" spans="1:21" ht="15" thickBot="1" x14ac:dyDescent="0.35">
      <c r="A100" s="214" t="s">
        <v>141</v>
      </c>
      <c r="B100" s="215"/>
      <c r="C100" s="41"/>
      <c r="D100" s="215" t="s">
        <v>142</v>
      </c>
      <c r="E100" s="215"/>
      <c r="F100" s="42"/>
      <c r="G100" s="216" t="s">
        <v>143</v>
      </c>
      <c r="H100" s="217"/>
      <c r="J100" s="218" t="s">
        <v>144</v>
      </c>
      <c r="K100" s="219"/>
      <c r="L100" s="42"/>
      <c r="M100" s="43"/>
      <c r="N100" s="44" t="s">
        <v>145</v>
      </c>
      <c r="O100" s="44" t="s">
        <v>146</v>
      </c>
      <c r="P100" s="44" t="s">
        <v>147</v>
      </c>
      <c r="Q100" s="44" t="s">
        <v>148</v>
      </c>
      <c r="R100" s="44" t="s">
        <v>149</v>
      </c>
      <c r="S100" s="44" t="s">
        <v>150</v>
      </c>
      <c r="T100" s="44" t="s">
        <v>151</v>
      </c>
      <c r="U100" s="45" t="s">
        <v>152</v>
      </c>
    </row>
    <row r="101" spans="1:21" ht="16.2" thickTop="1" x14ac:dyDescent="0.35">
      <c r="A101" s="46" t="s">
        <v>153</v>
      </c>
      <c r="B101" s="47">
        <v>4.68</v>
      </c>
      <c r="C101" s="48"/>
      <c r="D101" s="47" t="s">
        <v>154</v>
      </c>
      <c r="E101" s="47">
        <v>1.49</v>
      </c>
      <c r="F101" s="48"/>
      <c r="G101" s="49" t="s">
        <v>155</v>
      </c>
      <c r="H101" s="50">
        <v>-4.6395081598427792</v>
      </c>
      <c r="J101" s="51" t="s">
        <v>156</v>
      </c>
      <c r="K101" s="52">
        <v>5.9320038272660393E-2</v>
      </c>
      <c r="L101" s="48"/>
      <c r="M101" s="49" t="s">
        <v>157</v>
      </c>
      <c r="N101" s="53">
        <v>683.6399674320653</v>
      </c>
      <c r="O101" s="53">
        <v>2375.3725724756746</v>
      </c>
      <c r="P101" s="53">
        <v>2375.3725724756746</v>
      </c>
      <c r="Q101" s="53">
        <v>2375.3725724756746</v>
      </c>
      <c r="R101" s="53">
        <v>2375.3725724756746</v>
      </c>
      <c r="S101" s="53">
        <v>2375.3725724756746</v>
      </c>
      <c r="T101" s="53">
        <v>686.45887020127361</v>
      </c>
      <c r="U101" s="54">
        <v>686.45887020127361</v>
      </c>
    </row>
    <row r="102" spans="1:21" x14ac:dyDescent="0.3">
      <c r="A102" s="55" t="s">
        <v>158</v>
      </c>
      <c r="B102" s="56">
        <v>0.84974553181462209</v>
      </c>
      <c r="C102" s="48"/>
      <c r="D102" s="12" t="s">
        <v>159</v>
      </c>
      <c r="E102" s="56">
        <v>1.4035897397837529</v>
      </c>
      <c r="F102" s="48"/>
      <c r="G102" s="57" t="s">
        <v>160</v>
      </c>
      <c r="H102" s="58">
        <v>39.258544921875</v>
      </c>
      <c r="J102" s="59" t="s">
        <v>161</v>
      </c>
      <c r="K102" s="60">
        <v>2.9664691875839497</v>
      </c>
      <c r="L102" s="48"/>
      <c r="M102" s="57" t="s">
        <v>162</v>
      </c>
      <c r="N102" s="61">
        <v>0.3604918401572208</v>
      </c>
      <c r="O102" s="61">
        <v>63.714805746004117</v>
      </c>
      <c r="P102" s="61">
        <v>75.607048571764096</v>
      </c>
      <c r="Q102" s="61">
        <v>39.262780048618538</v>
      </c>
      <c r="R102" s="61">
        <v>39.144266647951838</v>
      </c>
      <c r="S102" s="61">
        <v>35.144266647951838</v>
      </c>
      <c r="T102" s="61">
        <v>-4.7113430259315123</v>
      </c>
      <c r="U102" s="62">
        <v>-4.6395081598427792</v>
      </c>
    </row>
    <row r="103" spans="1:21" ht="15.6" x14ac:dyDescent="0.35">
      <c r="A103" s="63" t="s">
        <v>163</v>
      </c>
      <c r="B103" s="64">
        <v>0.8</v>
      </c>
      <c r="C103" s="48"/>
      <c r="D103" s="64" t="s">
        <v>164</v>
      </c>
      <c r="E103" s="64">
        <v>0.6</v>
      </c>
      <c r="F103" s="48"/>
      <c r="G103" s="57" t="s">
        <v>165</v>
      </c>
      <c r="H103" s="58">
        <v>9.9947491765995817</v>
      </c>
      <c r="J103" s="59" t="s">
        <v>165</v>
      </c>
      <c r="K103" s="60">
        <v>9.9705056054454744</v>
      </c>
      <c r="L103" s="48"/>
      <c r="M103" s="57" t="s">
        <v>166</v>
      </c>
      <c r="N103" s="61">
        <v>425.31786506872368</v>
      </c>
      <c r="O103" s="61">
        <v>460.90046972353724</v>
      </c>
      <c r="P103" s="61">
        <v>475.32574223746019</v>
      </c>
      <c r="Q103" s="61">
        <v>425.60094925572059</v>
      </c>
      <c r="R103" s="61">
        <v>264.73661324128534</v>
      </c>
      <c r="S103" s="61">
        <v>257.23797342036119</v>
      </c>
      <c r="T103" s="61">
        <v>257.23797342036119</v>
      </c>
      <c r="U103" s="62">
        <v>419.9109074480333</v>
      </c>
    </row>
    <row r="104" spans="1:21" ht="16.2" thickBot="1" x14ac:dyDescent="0.4">
      <c r="A104" s="55" t="s">
        <v>167</v>
      </c>
      <c r="B104" s="12">
        <v>3.5950000000000002</v>
      </c>
      <c r="C104" s="65"/>
      <c r="D104" s="12" t="s">
        <v>168</v>
      </c>
      <c r="E104" s="12">
        <v>4.1900000000000004</v>
      </c>
      <c r="F104" s="48"/>
      <c r="G104" s="57" t="s">
        <v>169</v>
      </c>
      <c r="H104" s="58">
        <v>13.14430633720481</v>
      </c>
      <c r="J104" s="66" t="s">
        <v>169</v>
      </c>
      <c r="K104" s="67">
        <v>12.936974793029425</v>
      </c>
      <c r="L104" s="68"/>
      <c r="M104" s="69" t="s">
        <v>170</v>
      </c>
      <c r="N104" s="67">
        <v>1.8400115607005088</v>
      </c>
      <c r="O104" s="67">
        <v>1.8400115607005088</v>
      </c>
      <c r="P104" s="70"/>
      <c r="Q104" s="70"/>
      <c r="R104" s="70"/>
      <c r="S104" s="70"/>
      <c r="T104" s="70"/>
      <c r="U104" s="71"/>
    </row>
    <row r="105" spans="1:21" ht="15" thickBot="1" x14ac:dyDescent="0.35">
      <c r="A105" s="63" t="s">
        <v>171</v>
      </c>
      <c r="B105" s="64">
        <v>0</v>
      </c>
      <c r="C105" s="48"/>
      <c r="D105" s="64" t="s">
        <v>172</v>
      </c>
      <c r="E105" s="64">
        <v>30</v>
      </c>
      <c r="F105" s="48"/>
      <c r="G105" s="48"/>
      <c r="H105" s="72"/>
      <c r="J105" s="73" t="s">
        <v>173</v>
      </c>
      <c r="K105" s="74">
        <v>4.3610683189215882</v>
      </c>
    </row>
    <row r="106" spans="1:21" ht="15" thickBot="1" x14ac:dyDescent="0.35">
      <c r="A106" s="55" t="s">
        <v>174</v>
      </c>
      <c r="B106" s="12">
        <v>5</v>
      </c>
      <c r="C106" s="48"/>
      <c r="D106" s="12" t="s">
        <v>175</v>
      </c>
      <c r="E106" s="12">
        <v>4</v>
      </c>
      <c r="F106" s="48"/>
      <c r="G106" s="48"/>
      <c r="H106" s="75"/>
    </row>
    <row r="107" spans="1:21" x14ac:dyDescent="0.3">
      <c r="A107" s="12" t="s">
        <v>176</v>
      </c>
      <c r="B107" s="84">
        <f>B105-H103/B103/B104</f>
        <v>-3.4752257220443603</v>
      </c>
      <c r="C107" s="48"/>
      <c r="D107" s="12" t="s">
        <v>177</v>
      </c>
      <c r="E107" s="84">
        <f>E105+H104/E103/E104</f>
        <v>35.228443252666992</v>
      </c>
      <c r="F107" s="48"/>
      <c r="G107" s="48"/>
      <c r="H107" s="75"/>
      <c r="J107" s="220" t="s">
        <v>178</v>
      </c>
      <c r="K107" s="221"/>
    </row>
    <row r="108" spans="1:21" ht="15" thickBot="1" x14ac:dyDescent="0.35">
      <c r="A108" s="212" t="s">
        <v>13</v>
      </c>
      <c r="B108" s="213"/>
      <c r="C108" s="65"/>
      <c r="D108" s="65"/>
      <c r="E108" s="65"/>
      <c r="F108" s="48"/>
      <c r="G108" s="48"/>
      <c r="H108" s="75"/>
      <c r="J108" s="59" t="s">
        <v>179</v>
      </c>
      <c r="K108" s="58">
        <v>2.8189027692083481</v>
      </c>
    </row>
    <row r="109" spans="1:21" ht="15" thickTop="1" x14ac:dyDescent="0.3">
      <c r="A109" s="46" t="s">
        <v>22</v>
      </c>
      <c r="B109" s="47" t="s">
        <v>21</v>
      </c>
      <c r="C109" s="65"/>
      <c r="D109" s="65"/>
      <c r="E109" s="65"/>
      <c r="F109" s="48"/>
      <c r="G109" s="48"/>
      <c r="H109" s="75"/>
      <c r="J109" s="59" t="s">
        <v>180</v>
      </c>
      <c r="K109" s="77">
        <v>4.512500000000002</v>
      </c>
    </row>
    <row r="110" spans="1:21" x14ac:dyDescent="0.3">
      <c r="A110" s="55" t="s">
        <v>181</v>
      </c>
      <c r="B110" s="12">
        <v>8.9</v>
      </c>
      <c r="C110" s="65"/>
      <c r="D110" s="65"/>
      <c r="E110" s="65"/>
      <c r="F110" s="48"/>
      <c r="G110" s="65"/>
      <c r="H110" s="75"/>
      <c r="J110" s="59" t="s">
        <v>182</v>
      </c>
      <c r="K110" s="77">
        <v>0</v>
      </c>
    </row>
    <row r="111" spans="1:21" ht="15" thickBot="1" x14ac:dyDescent="0.35">
      <c r="A111" s="78" t="s">
        <v>183</v>
      </c>
      <c r="B111" s="60">
        <v>0.94888553736671899</v>
      </c>
      <c r="C111" s="65"/>
      <c r="D111" s="79"/>
      <c r="E111" s="65"/>
      <c r="F111" s="48"/>
      <c r="G111" s="48"/>
      <c r="H111" s="75"/>
      <c r="J111" s="66" t="s">
        <v>184</v>
      </c>
      <c r="K111" s="80">
        <v>5.7300000000000022</v>
      </c>
    </row>
    <row r="112" spans="1:21" x14ac:dyDescent="0.3">
      <c r="A112" s="78" t="s">
        <v>185</v>
      </c>
      <c r="B112" s="60">
        <v>0.71153999468425289</v>
      </c>
      <c r="C112" s="65"/>
      <c r="D112" s="79"/>
      <c r="E112" s="65"/>
      <c r="F112" s="48"/>
      <c r="G112" s="48"/>
      <c r="H112" s="75"/>
    </row>
    <row r="113" spans="1:21" ht="15" thickBot="1" x14ac:dyDescent="0.35">
      <c r="A113" s="81" t="s">
        <v>186</v>
      </c>
      <c r="B113" s="67">
        <v>8.4450812825638</v>
      </c>
      <c r="C113" s="82"/>
      <c r="D113" s="82"/>
      <c r="E113" s="82"/>
      <c r="F113" s="68"/>
      <c r="G113" s="68"/>
      <c r="H113" s="83"/>
    </row>
    <row r="115" spans="1:21" ht="15" thickBot="1" x14ac:dyDescent="0.35">
      <c r="A115" s="155" t="s">
        <v>233</v>
      </c>
    </row>
    <row r="116" spans="1:21" ht="15" thickBot="1" x14ac:dyDescent="0.35">
      <c r="A116" s="214" t="s">
        <v>141</v>
      </c>
      <c r="B116" s="215"/>
      <c r="C116" s="41"/>
      <c r="D116" s="215" t="s">
        <v>142</v>
      </c>
      <c r="E116" s="215"/>
      <c r="F116" s="42"/>
      <c r="G116" s="216" t="s">
        <v>143</v>
      </c>
      <c r="H116" s="217"/>
      <c r="J116" s="218" t="s">
        <v>144</v>
      </c>
      <c r="K116" s="219"/>
      <c r="L116" s="42"/>
      <c r="M116" s="43"/>
      <c r="N116" s="44" t="s">
        <v>145</v>
      </c>
      <c r="O116" s="44" t="s">
        <v>146</v>
      </c>
      <c r="P116" s="44" t="s">
        <v>147</v>
      </c>
      <c r="Q116" s="44" t="s">
        <v>148</v>
      </c>
      <c r="R116" s="44" t="s">
        <v>149</v>
      </c>
      <c r="S116" s="44" t="s">
        <v>150</v>
      </c>
      <c r="T116" s="44" t="s">
        <v>151</v>
      </c>
      <c r="U116" s="45" t="s">
        <v>152</v>
      </c>
    </row>
    <row r="117" spans="1:21" ht="16.2" thickTop="1" x14ac:dyDescent="0.35">
      <c r="A117" s="46" t="s">
        <v>153</v>
      </c>
      <c r="B117" s="47">
        <v>4.68</v>
      </c>
      <c r="C117" s="48"/>
      <c r="D117" s="47" t="s">
        <v>154</v>
      </c>
      <c r="E117" s="47">
        <v>1.49</v>
      </c>
      <c r="F117" s="48"/>
      <c r="G117" s="49" t="s">
        <v>155</v>
      </c>
      <c r="H117" s="50">
        <v>-4.1693874282528727</v>
      </c>
      <c r="J117" s="51" t="s">
        <v>156</v>
      </c>
      <c r="K117" s="52">
        <v>5.9135663064759217E-2</v>
      </c>
      <c r="L117" s="48"/>
      <c r="M117" s="49" t="s">
        <v>157</v>
      </c>
      <c r="N117" s="53">
        <v>694.66832912045652</v>
      </c>
      <c r="O117" s="53">
        <v>2991.9301302013932</v>
      </c>
      <c r="P117" s="53">
        <v>2991.9301302013932</v>
      </c>
      <c r="Q117" s="53">
        <v>2991.9301302013932</v>
      </c>
      <c r="R117" s="53">
        <v>2991.9301302013932</v>
      </c>
      <c r="S117" s="53">
        <v>2991.9301302013932</v>
      </c>
      <c r="T117" s="53">
        <v>697.19666606120541</v>
      </c>
      <c r="U117" s="54">
        <v>697.19666606120541</v>
      </c>
    </row>
    <row r="118" spans="1:21" x14ac:dyDescent="0.3">
      <c r="A118" s="55" t="s">
        <v>158</v>
      </c>
      <c r="B118" s="56">
        <v>0.83346956892489765</v>
      </c>
      <c r="C118" s="48"/>
      <c r="D118" s="12" t="s">
        <v>159</v>
      </c>
      <c r="E118" s="56">
        <v>1.401049022591994</v>
      </c>
      <c r="F118" s="48"/>
      <c r="G118" s="57" t="s">
        <v>160</v>
      </c>
      <c r="H118" s="58">
        <v>48.982177734375</v>
      </c>
      <c r="J118" s="59" t="s">
        <v>161</v>
      </c>
      <c r="K118" s="60">
        <v>3.7048764178718776</v>
      </c>
      <c r="L118" s="48"/>
      <c r="M118" s="57" t="s">
        <v>162</v>
      </c>
      <c r="N118" s="61">
        <v>0.83061257174712733</v>
      </c>
      <c r="O118" s="61">
        <v>76.932362603099307</v>
      </c>
      <c r="P118" s="61">
        <v>93.309482709447423</v>
      </c>
      <c r="Q118" s="61">
        <v>48.983188996603985</v>
      </c>
      <c r="R118" s="61">
        <v>48.867591130827805</v>
      </c>
      <c r="S118" s="61">
        <v>44.867591130827805</v>
      </c>
      <c r="T118" s="61">
        <v>-4.2337217673737086</v>
      </c>
      <c r="U118" s="62">
        <v>-4.1693874282528727</v>
      </c>
    </row>
    <row r="119" spans="1:21" ht="15.6" x14ac:dyDescent="0.35">
      <c r="A119" s="63" t="s">
        <v>163</v>
      </c>
      <c r="B119" s="64">
        <v>0.8</v>
      </c>
      <c r="C119" s="48"/>
      <c r="D119" s="64" t="s">
        <v>164</v>
      </c>
      <c r="E119" s="64">
        <v>0.6</v>
      </c>
      <c r="F119" s="48"/>
      <c r="G119" s="57" t="s">
        <v>165</v>
      </c>
      <c r="H119" s="58">
        <v>8.9012525607722157</v>
      </c>
      <c r="J119" s="59" t="s">
        <v>165</v>
      </c>
      <c r="K119" s="60">
        <v>8.8923183073757261</v>
      </c>
      <c r="L119" s="48"/>
      <c r="M119" s="57" t="s">
        <v>166</v>
      </c>
      <c r="N119" s="61">
        <v>425.48283697413012</v>
      </c>
      <c r="O119" s="61">
        <v>467.47853472900675</v>
      </c>
      <c r="P119" s="61">
        <v>488.13329569672334</v>
      </c>
      <c r="Q119" s="61">
        <v>422.43940723615032</v>
      </c>
      <c r="R119" s="61">
        <v>283.55678668979954</v>
      </c>
      <c r="S119" s="61">
        <v>275.11133783937305</v>
      </c>
      <c r="T119" s="61">
        <v>275.11133783937305</v>
      </c>
      <c r="U119" s="62">
        <v>420.06682009106981</v>
      </c>
    </row>
    <row r="120" spans="1:21" ht="16.2" thickBot="1" x14ac:dyDescent="0.4">
      <c r="A120" s="55" t="s">
        <v>167</v>
      </c>
      <c r="B120" s="12">
        <v>3.5950000000000002</v>
      </c>
      <c r="C120" s="65"/>
      <c r="D120" s="12" t="s">
        <v>168</v>
      </c>
      <c r="E120" s="12">
        <v>4.1900000000000004</v>
      </c>
      <c r="F120" s="48"/>
      <c r="G120" s="57" t="s">
        <v>169</v>
      </c>
      <c r="H120" s="58">
        <v>12.73970881378704</v>
      </c>
      <c r="J120" s="66" t="s">
        <v>169</v>
      </c>
      <c r="K120" s="67">
        <v>12.597194725247604</v>
      </c>
      <c r="L120" s="68"/>
      <c r="M120" s="69" t="s">
        <v>170</v>
      </c>
      <c r="N120" s="67">
        <v>1.8390337132255619</v>
      </c>
      <c r="O120" s="67">
        <v>1.8390337132255619</v>
      </c>
      <c r="P120" s="70"/>
      <c r="Q120" s="70"/>
      <c r="R120" s="70"/>
      <c r="S120" s="70"/>
      <c r="T120" s="70"/>
      <c r="U120" s="71"/>
    </row>
    <row r="121" spans="1:21" ht="15" thickBot="1" x14ac:dyDescent="0.35">
      <c r="A121" s="63" t="s">
        <v>171</v>
      </c>
      <c r="B121" s="64">
        <v>0</v>
      </c>
      <c r="C121" s="48"/>
      <c r="D121" s="64" t="s">
        <v>172</v>
      </c>
      <c r="E121" s="64">
        <v>40</v>
      </c>
      <c r="F121" s="48"/>
      <c r="G121" s="48"/>
      <c r="H121" s="72"/>
      <c r="J121" s="73" t="s">
        <v>173</v>
      </c>
      <c r="K121" s="74">
        <v>3.4001659716583945</v>
      </c>
    </row>
    <row r="122" spans="1:21" ht="15" thickBot="1" x14ac:dyDescent="0.35">
      <c r="A122" s="55" t="s">
        <v>174</v>
      </c>
      <c r="B122" s="12">
        <v>5</v>
      </c>
      <c r="C122" s="48"/>
      <c r="D122" s="12" t="s">
        <v>175</v>
      </c>
      <c r="E122" s="12">
        <v>4</v>
      </c>
      <c r="F122" s="48"/>
      <c r="G122" s="48"/>
      <c r="H122" s="75"/>
    </row>
    <row r="123" spans="1:21" x14ac:dyDescent="0.3">
      <c r="A123" s="12" t="s">
        <v>176</v>
      </c>
      <c r="B123" s="84">
        <f>B121-H119/B119/B120</f>
        <v>-3.0950113215480579</v>
      </c>
      <c r="C123" s="48"/>
      <c r="D123" s="12" t="s">
        <v>177</v>
      </c>
      <c r="E123" s="84">
        <f>E121+H120/E119/E120</f>
        <v>45.067505494744246</v>
      </c>
      <c r="F123" s="48"/>
      <c r="G123" s="48"/>
      <c r="H123" s="75"/>
      <c r="J123" s="220" t="s">
        <v>178</v>
      </c>
      <c r="K123" s="221"/>
    </row>
    <row r="124" spans="1:21" ht="15" thickBot="1" x14ac:dyDescent="0.35">
      <c r="A124" s="212" t="s">
        <v>13</v>
      </c>
      <c r="B124" s="213"/>
      <c r="C124" s="65"/>
      <c r="D124" s="65"/>
      <c r="E124" s="65"/>
      <c r="F124" s="48"/>
      <c r="G124" s="48"/>
      <c r="H124" s="75"/>
      <c r="J124" s="59" t="s">
        <v>179</v>
      </c>
      <c r="K124" s="58">
        <v>2.5283369407489409</v>
      </c>
    </row>
    <row r="125" spans="1:21" ht="15" thickTop="1" x14ac:dyDescent="0.3">
      <c r="A125" s="46" t="s">
        <v>22</v>
      </c>
      <c r="B125" s="47" t="s">
        <v>21</v>
      </c>
      <c r="C125" s="65"/>
      <c r="D125" s="65"/>
      <c r="E125" s="65"/>
      <c r="F125" s="48"/>
      <c r="G125" s="48"/>
      <c r="H125" s="75"/>
      <c r="J125" s="59" t="s">
        <v>180</v>
      </c>
      <c r="K125" s="77">
        <v>4.512500000000002</v>
      </c>
    </row>
    <row r="126" spans="1:21" x14ac:dyDescent="0.3">
      <c r="A126" s="55" t="s">
        <v>181</v>
      </c>
      <c r="B126" s="12">
        <v>8.9</v>
      </c>
      <c r="C126" s="65"/>
      <c r="D126" s="65"/>
      <c r="E126" s="65"/>
      <c r="F126" s="48"/>
      <c r="G126" s="65"/>
      <c r="H126" s="75"/>
      <c r="J126" s="59" t="s">
        <v>182</v>
      </c>
      <c r="K126" s="77">
        <v>0</v>
      </c>
    </row>
    <row r="127" spans="1:21" ht="15" thickBot="1" x14ac:dyDescent="0.35">
      <c r="A127" s="78" t="s">
        <v>183</v>
      </c>
      <c r="B127" s="60">
        <v>0.93095334554415676</v>
      </c>
      <c r="C127" s="65"/>
      <c r="D127" s="79"/>
      <c r="E127" s="65"/>
      <c r="F127" s="48"/>
      <c r="G127" s="48"/>
      <c r="H127" s="75"/>
      <c r="J127" s="66" t="s">
        <v>184</v>
      </c>
      <c r="K127" s="80">
        <v>5.7300000000000022</v>
      </c>
    </row>
    <row r="128" spans="1:21" x14ac:dyDescent="0.3">
      <c r="A128" s="78" t="s">
        <v>185</v>
      </c>
      <c r="B128" s="60">
        <v>0.67031748228416432</v>
      </c>
      <c r="C128" s="65"/>
      <c r="D128" s="79"/>
      <c r="E128" s="65"/>
      <c r="F128" s="48"/>
      <c r="G128" s="48"/>
      <c r="H128" s="75"/>
    </row>
    <row r="129" spans="1:21" ht="15" thickBot="1" x14ac:dyDescent="0.35">
      <c r="A129" s="81" t="s">
        <v>186</v>
      </c>
      <c r="B129" s="67">
        <v>8.2854847753429954</v>
      </c>
      <c r="C129" s="82"/>
      <c r="D129" s="82"/>
      <c r="E129" s="82"/>
      <c r="F129" s="68"/>
      <c r="G129" s="68"/>
      <c r="H129" s="83"/>
    </row>
    <row r="131" spans="1:21" ht="15" thickBot="1" x14ac:dyDescent="0.35">
      <c r="A131" s="155" t="s">
        <v>234</v>
      </c>
    </row>
    <row r="132" spans="1:21" ht="15" thickBot="1" x14ac:dyDescent="0.35">
      <c r="A132" s="214" t="s">
        <v>141</v>
      </c>
      <c r="B132" s="215"/>
      <c r="C132" s="41"/>
      <c r="D132" s="215" t="s">
        <v>142</v>
      </c>
      <c r="E132" s="215"/>
      <c r="F132" s="42"/>
      <c r="G132" s="216" t="s">
        <v>143</v>
      </c>
      <c r="H132" s="217"/>
      <c r="J132" s="218" t="s">
        <v>144</v>
      </c>
      <c r="K132" s="219"/>
      <c r="L132" s="42"/>
      <c r="M132" s="43"/>
      <c r="N132" s="44" t="s">
        <v>145</v>
      </c>
      <c r="O132" s="44" t="s">
        <v>146</v>
      </c>
      <c r="P132" s="44" t="s">
        <v>147</v>
      </c>
      <c r="Q132" s="44" t="s">
        <v>148</v>
      </c>
      <c r="R132" s="44" t="s">
        <v>149</v>
      </c>
      <c r="S132" s="44" t="s">
        <v>150</v>
      </c>
      <c r="T132" s="44" t="s">
        <v>151</v>
      </c>
      <c r="U132" s="45" t="s">
        <v>152</v>
      </c>
    </row>
    <row r="133" spans="1:21" ht="16.2" thickTop="1" x14ac:dyDescent="0.35">
      <c r="A133" s="46" t="s">
        <v>153</v>
      </c>
      <c r="B133" s="47">
        <v>4.68</v>
      </c>
      <c r="C133" s="48"/>
      <c r="D133" s="47" t="s">
        <v>154</v>
      </c>
      <c r="E133" s="47">
        <v>1.49</v>
      </c>
      <c r="F133" s="48"/>
      <c r="G133" s="49" t="s">
        <v>155</v>
      </c>
      <c r="H133" s="50">
        <v>-9.0449906740764838</v>
      </c>
      <c r="J133" s="51" t="s">
        <v>156</v>
      </c>
      <c r="K133" s="52">
        <v>5.0657350090067076E-2</v>
      </c>
      <c r="L133" s="48"/>
      <c r="M133" s="49" t="s">
        <v>157</v>
      </c>
      <c r="N133" s="53">
        <v>589.37437588992179</v>
      </c>
      <c r="O133" s="53">
        <v>2308.1324931235399</v>
      </c>
      <c r="P133" s="53">
        <v>2308.1324931235399</v>
      </c>
      <c r="Q133" s="53">
        <v>2308.1324931235399</v>
      </c>
      <c r="R133" s="53">
        <v>2308.1324931235399</v>
      </c>
      <c r="S133" s="53">
        <v>2308.1324931235399</v>
      </c>
      <c r="T133" s="53">
        <v>591.81336149526919</v>
      </c>
      <c r="U133" s="54">
        <v>591.81336149526919</v>
      </c>
    </row>
    <row r="134" spans="1:21" x14ac:dyDescent="0.3">
      <c r="A134" s="55" t="s">
        <v>158</v>
      </c>
      <c r="B134" s="56">
        <v>0.81701694810795655</v>
      </c>
      <c r="C134" s="48"/>
      <c r="D134" s="12" t="s">
        <v>159</v>
      </c>
      <c r="E134" s="56">
        <v>1.4081555234888592</v>
      </c>
      <c r="F134" s="48"/>
      <c r="G134" s="57" t="s">
        <v>160</v>
      </c>
      <c r="H134" s="58">
        <v>38.084716796875</v>
      </c>
      <c r="J134" s="59" t="s">
        <v>161</v>
      </c>
      <c r="K134" s="60">
        <v>2.8806828073948432</v>
      </c>
      <c r="L134" s="48"/>
      <c r="M134" s="57" t="s">
        <v>162</v>
      </c>
      <c r="N134" s="61">
        <v>-4.0449906740764838</v>
      </c>
      <c r="O134" s="61">
        <v>64.398645263950073</v>
      </c>
      <c r="P134" s="61">
        <v>79.220894260851594</v>
      </c>
      <c r="Q134" s="61">
        <v>38.089639568580594</v>
      </c>
      <c r="R134" s="61">
        <v>37.97106604002073</v>
      </c>
      <c r="S134" s="61">
        <v>33.97106604002073</v>
      </c>
      <c r="T134" s="61">
        <v>-9.1137685927553207</v>
      </c>
      <c r="U134" s="62">
        <v>-9.0449906740764838</v>
      </c>
    </row>
    <row r="135" spans="1:21" ht="15.6" x14ac:dyDescent="0.35">
      <c r="A135" s="63" t="s">
        <v>163</v>
      </c>
      <c r="B135" s="64">
        <v>0.8</v>
      </c>
      <c r="C135" s="48"/>
      <c r="D135" s="64" t="s">
        <v>164</v>
      </c>
      <c r="E135" s="64">
        <v>0.6</v>
      </c>
      <c r="F135" s="48"/>
      <c r="G135" s="57" t="s">
        <v>165</v>
      </c>
      <c r="H135" s="58">
        <v>8.5542260903495073</v>
      </c>
      <c r="J135" s="59" t="s">
        <v>165</v>
      </c>
      <c r="K135" s="60">
        <v>8.5338250097949544</v>
      </c>
      <c r="L135" s="48"/>
      <c r="M135" s="57" t="s">
        <v>166</v>
      </c>
      <c r="N135" s="61">
        <v>423.62322535278798</v>
      </c>
      <c r="O135" s="61">
        <v>462.91278540708015</v>
      </c>
      <c r="P135" s="61">
        <v>480.48926359349906</v>
      </c>
      <c r="Q135" s="61">
        <v>425.80754004576784</v>
      </c>
      <c r="R135" s="61">
        <v>262.57716577981853</v>
      </c>
      <c r="S135" s="61">
        <v>255.16149187043845</v>
      </c>
      <c r="T135" s="61">
        <v>255.16149187043845</v>
      </c>
      <c r="U135" s="62">
        <v>418.38578782265802</v>
      </c>
    </row>
    <row r="136" spans="1:21" ht="16.2" thickBot="1" x14ac:dyDescent="0.4">
      <c r="A136" s="55" t="s">
        <v>167</v>
      </c>
      <c r="B136" s="12">
        <v>3.5950000000000002</v>
      </c>
      <c r="C136" s="65"/>
      <c r="D136" s="12" t="s">
        <v>168</v>
      </c>
      <c r="E136" s="12">
        <v>4.1900000000000004</v>
      </c>
      <c r="F136" s="48"/>
      <c r="G136" s="57" t="s">
        <v>169</v>
      </c>
      <c r="H136" s="58">
        <v>11.504060052378804</v>
      </c>
      <c r="J136" s="66" t="s">
        <v>169</v>
      </c>
      <c r="K136" s="67">
        <v>11.414507817189797</v>
      </c>
      <c r="L136" s="68"/>
      <c r="M136" s="69" t="s">
        <v>170</v>
      </c>
      <c r="N136" s="67">
        <v>1.8485376637334718</v>
      </c>
      <c r="O136" s="67">
        <v>1.8485376637334718</v>
      </c>
      <c r="P136" s="70"/>
      <c r="Q136" s="70"/>
      <c r="R136" s="70"/>
      <c r="S136" s="70"/>
      <c r="T136" s="70"/>
      <c r="U136" s="71"/>
    </row>
    <row r="137" spans="1:21" ht="15" thickBot="1" x14ac:dyDescent="0.35">
      <c r="A137" s="63" t="s">
        <v>171</v>
      </c>
      <c r="B137" s="64">
        <v>-5</v>
      </c>
      <c r="C137" s="48"/>
      <c r="D137" s="64" t="s">
        <v>172</v>
      </c>
      <c r="E137" s="64">
        <v>30</v>
      </c>
      <c r="F137" s="48"/>
      <c r="G137" s="48"/>
      <c r="H137" s="72"/>
      <c r="J137" s="73" t="s">
        <v>173</v>
      </c>
      <c r="K137" s="74">
        <v>3.9624313332548238</v>
      </c>
    </row>
    <row r="138" spans="1:21" ht="15" thickBot="1" x14ac:dyDescent="0.35">
      <c r="A138" s="55" t="s">
        <v>174</v>
      </c>
      <c r="B138" s="12">
        <v>5</v>
      </c>
      <c r="C138" s="48"/>
      <c r="D138" s="12" t="s">
        <v>175</v>
      </c>
      <c r="E138" s="12">
        <v>4</v>
      </c>
      <c r="F138" s="48"/>
      <c r="G138" s="48"/>
      <c r="H138" s="75"/>
    </row>
    <row r="139" spans="1:21" x14ac:dyDescent="0.3">
      <c r="A139" s="12" t="s">
        <v>176</v>
      </c>
      <c r="B139" s="84">
        <f>B137-H135/B135/B136</f>
        <v>-7.9743484319713165</v>
      </c>
      <c r="C139" s="48"/>
      <c r="D139" s="12" t="s">
        <v>177</v>
      </c>
      <c r="E139" s="84">
        <f>E137+H136/E135/E136</f>
        <v>34.575998429744949</v>
      </c>
      <c r="F139" s="48"/>
      <c r="G139" s="48"/>
      <c r="H139" s="75"/>
      <c r="J139" s="220" t="s">
        <v>178</v>
      </c>
      <c r="K139" s="221"/>
    </row>
    <row r="140" spans="1:21" ht="15" thickBot="1" x14ac:dyDescent="0.35">
      <c r="A140" s="212" t="s">
        <v>13</v>
      </c>
      <c r="B140" s="213"/>
      <c r="C140" s="65"/>
      <c r="D140" s="65"/>
      <c r="E140" s="65"/>
      <c r="F140" s="48"/>
      <c r="G140" s="48"/>
      <c r="H140" s="75"/>
      <c r="J140" s="59" t="s">
        <v>179</v>
      </c>
      <c r="K140" s="58">
        <v>2.4389856053473458</v>
      </c>
    </row>
    <row r="141" spans="1:21" ht="15" thickTop="1" x14ac:dyDescent="0.3">
      <c r="A141" s="46" t="s">
        <v>22</v>
      </c>
      <c r="B141" s="47" t="s">
        <v>21</v>
      </c>
      <c r="C141" s="65"/>
      <c r="D141" s="65"/>
      <c r="E141" s="65"/>
      <c r="F141" s="48"/>
      <c r="G141" s="48"/>
      <c r="H141" s="75"/>
      <c r="J141" s="59" t="s">
        <v>180</v>
      </c>
      <c r="K141" s="77">
        <v>4.512500000000002</v>
      </c>
    </row>
    <row r="142" spans="1:21" x14ac:dyDescent="0.3">
      <c r="A142" s="55" t="s">
        <v>181</v>
      </c>
      <c r="B142" s="12">
        <v>8.9</v>
      </c>
      <c r="C142" s="65"/>
      <c r="D142" s="65"/>
      <c r="E142" s="65"/>
      <c r="F142" s="48"/>
      <c r="G142" s="65"/>
      <c r="H142" s="75"/>
      <c r="J142" s="59" t="s">
        <v>182</v>
      </c>
      <c r="K142" s="77">
        <v>0</v>
      </c>
    </row>
    <row r="143" spans="1:21" ht="15" thickBot="1" x14ac:dyDescent="0.35">
      <c r="A143" s="78" t="s">
        <v>183</v>
      </c>
      <c r="B143" s="60">
        <v>0.93810794609461334</v>
      </c>
      <c r="C143" s="65"/>
      <c r="D143" s="79"/>
      <c r="E143" s="65"/>
      <c r="F143" s="48"/>
      <c r="G143" s="48"/>
      <c r="H143" s="75"/>
      <c r="J143" s="66" t="s">
        <v>184</v>
      </c>
      <c r="K143" s="80">
        <v>5.7300000000000022</v>
      </c>
    </row>
    <row r="144" spans="1:21" x14ac:dyDescent="0.3">
      <c r="A144" s="78" t="s">
        <v>185</v>
      </c>
      <c r="B144" s="60">
        <v>0.69091431845456597</v>
      </c>
      <c r="C144" s="65"/>
      <c r="D144" s="79"/>
      <c r="E144" s="65"/>
      <c r="F144" s="48"/>
      <c r="G144" s="48"/>
      <c r="H144" s="75"/>
    </row>
    <row r="145" spans="1:21" ht="15" thickBot="1" x14ac:dyDescent="0.35">
      <c r="A145" s="81" t="s">
        <v>186</v>
      </c>
      <c r="B145" s="67">
        <v>8.3491607202420592</v>
      </c>
      <c r="C145" s="82"/>
      <c r="D145" s="82"/>
      <c r="E145" s="82"/>
      <c r="F145" s="68"/>
      <c r="G145" s="68"/>
      <c r="H145" s="83"/>
    </row>
    <row r="147" spans="1:21" ht="15" thickBot="1" x14ac:dyDescent="0.35">
      <c r="A147" s="155" t="s">
        <v>235</v>
      </c>
    </row>
    <row r="148" spans="1:21" ht="15" thickBot="1" x14ac:dyDescent="0.35">
      <c r="A148" s="214" t="s">
        <v>141</v>
      </c>
      <c r="B148" s="215"/>
      <c r="C148" s="41"/>
      <c r="D148" s="215" t="s">
        <v>142</v>
      </c>
      <c r="E148" s="215"/>
      <c r="F148" s="42"/>
      <c r="G148" s="216" t="s">
        <v>143</v>
      </c>
      <c r="H148" s="217"/>
      <c r="J148" s="218" t="s">
        <v>144</v>
      </c>
      <c r="K148" s="219"/>
      <c r="L148" s="42"/>
      <c r="M148" s="43"/>
      <c r="N148" s="44" t="s">
        <v>145</v>
      </c>
      <c r="O148" s="44" t="s">
        <v>146</v>
      </c>
      <c r="P148" s="44" t="s">
        <v>147</v>
      </c>
      <c r="Q148" s="44" t="s">
        <v>148</v>
      </c>
      <c r="R148" s="44" t="s">
        <v>149</v>
      </c>
      <c r="S148" s="44" t="s">
        <v>150</v>
      </c>
      <c r="T148" s="44" t="s">
        <v>151</v>
      </c>
      <c r="U148" s="45" t="s">
        <v>152</v>
      </c>
    </row>
    <row r="149" spans="1:21" ht="16.2" thickTop="1" x14ac:dyDescent="0.35">
      <c r="A149" s="46" t="s">
        <v>153</v>
      </c>
      <c r="B149" s="47">
        <v>4.68</v>
      </c>
      <c r="C149" s="48"/>
      <c r="D149" s="47" t="s">
        <v>154</v>
      </c>
      <c r="E149" s="47">
        <v>1.49</v>
      </c>
      <c r="F149" s="48"/>
      <c r="G149" s="49" t="s">
        <v>155</v>
      </c>
      <c r="H149" s="50">
        <v>-8.2702309984536182</v>
      </c>
      <c r="J149" s="51" t="s">
        <v>156</v>
      </c>
      <c r="K149" s="52">
        <v>5.1185541988122342E-2</v>
      </c>
      <c r="L149" s="48"/>
      <c r="M149" s="49" t="s">
        <v>157</v>
      </c>
      <c r="N149" s="53">
        <v>605.42704863570145</v>
      </c>
      <c r="O149" s="53">
        <v>2833.3682769161596</v>
      </c>
      <c r="P149" s="53">
        <v>2833.3682769161596</v>
      </c>
      <c r="Q149" s="53">
        <v>2833.3682769161596</v>
      </c>
      <c r="R149" s="53">
        <v>2833.3682769161596</v>
      </c>
      <c r="S149" s="53">
        <v>2833.3682769161596</v>
      </c>
      <c r="T149" s="53">
        <v>607.69274270272308</v>
      </c>
      <c r="U149" s="54">
        <v>607.69274270272308</v>
      </c>
    </row>
    <row r="150" spans="1:21" x14ac:dyDescent="0.3">
      <c r="A150" s="55" t="s">
        <v>158</v>
      </c>
      <c r="B150" s="56">
        <v>0.84953118487439194</v>
      </c>
      <c r="C150" s="48"/>
      <c r="D150" s="12" t="s">
        <v>159</v>
      </c>
      <c r="E150" s="56">
        <v>1.4743212944462945</v>
      </c>
      <c r="F150" s="48"/>
      <c r="G150" s="57" t="s">
        <v>160</v>
      </c>
      <c r="H150" s="58">
        <v>46.641357421875</v>
      </c>
      <c r="J150" s="59" t="s">
        <v>161</v>
      </c>
      <c r="K150" s="60">
        <v>3.4976007397533326</v>
      </c>
      <c r="L150" s="48"/>
      <c r="M150" s="57" t="s">
        <v>162</v>
      </c>
      <c r="N150" s="61">
        <v>-3.2702309984536182</v>
      </c>
      <c r="O150" s="61">
        <v>75.823428897496285</v>
      </c>
      <c r="P150" s="61">
        <v>95.099119746352017</v>
      </c>
      <c r="Q150" s="61">
        <v>46.630093104569369</v>
      </c>
      <c r="R150" s="61">
        <v>46.525821472357279</v>
      </c>
      <c r="S150" s="61">
        <v>42.525821472357279</v>
      </c>
      <c r="T150" s="61">
        <v>-8.3330960584138438</v>
      </c>
      <c r="U150" s="62">
        <v>-8.2702309984536182</v>
      </c>
    </row>
    <row r="151" spans="1:21" ht="15.6" x14ac:dyDescent="0.35">
      <c r="A151" s="63" t="s">
        <v>163</v>
      </c>
      <c r="B151" s="64">
        <v>1</v>
      </c>
      <c r="C151" s="48"/>
      <c r="D151" s="64" t="s">
        <v>164</v>
      </c>
      <c r="E151" s="64">
        <v>1</v>
      </c>
      <c r="F151" s="48"/>
      <c r="G151" s="57" t="s">
        <v>165</v>
      </c>
      <c r="H151" s="58">
        <v>7.8653254436964808</v>
      </c>
      <c r="J151" s="59" t="s">
        <v>165</v>
      </c>
      <c r="K151" s="60">
        <v>7.8433779111144251</v>
      </c>
      <c r="L151" s="48"/>
      <c r="M151" s="57" t="s">
        <v>166</v>
      </c>
      <c r="N151" s="61">
        <v>423.92131593224173</v>
      </c>
      <c r="O151" s="61">
        <v>468.59708311463896</v>
      </c>
      <c r="P151" s="61">
        <v>492.25312612514648</v>
      </c>
      <c r="Q151" s="61">
        <v>423.44841226939911</v>
      </c>
      <c r="R151" s="61">
        <v>278.84939239823967</v>
      </c>
      <c r="S151" s="61">
        <v>270.68707035300201</v>
      </c>
      <c r="T151" s="61">
        <v>270.68707035300201</v>
      </c>
      <c r="U151" s="62">
        <v>418.66214470689914</v>
      </c>
    </row>
    <row r="152" spans="1:21" ht="16.2" thickBot="1" x14ac:dyDescent="0.4">
      <c r="A152" s="55" t="s">
        <v>167</v>
      </c>
      <c r="B152" s="12">
        <v>3.5950000000000002</v>
      </c>
      <c r="C152" s="65"/>
      <c r="D152" s="12" t="s">
        <v>168</v>
      </c>
      <c r="E152" s="12">
        <v>4.1900000000000004</v>
      </c>
      <c r="F152" s="48"/>
      <c r="G152" s="57" t="s">
        <v>169</v>
      </c>
      <c r="H152" s="58">
        <v>11.357077652601205</v>
      </c>
      <c r="J152" s="66" t="s">
        <v>169</v>
      </c>
      <c r="K152" s="67">
        <v>11.340978650867758</v>
      </c>
      <c r="L152" s="68"/>
      <c r="M152" s="69" t="s">
        <v>170</v>
      </c>
      <c r="N152" s="67">
        <v>1.846952666144166</v>
      </c>
      <c r="O152" s="67">
        <v>1.846952666144166</v>
      </c>
      <c r="P152" s="70"/>
      <c r="Q152" s="70"/>
      <c r="R152" s="70"/>
      <c r="S152" s="70"/>
      <c r="T152" s="70"/>
      <c r="U152" s="71"/>
    </row>
    <row r="153" spans="1:21" ht="15" thickBot="1" x14ac:dyDescent="0.35">
      <c r="A153" s="63" t="s">
        <v>171</v>
      </c>
      <c r="B153" s="64">
        <v>-5</v>
      </c>
      <c r="C153" s="48"/>
      <c r="D153" s="64" t="s">
        <v>172</v>
      </c>
      <c r="E153" s="64">
        <v>40</v>
      </c>
      <c r="F153" s="48"/>
      <c r="G153" s="48"/>
      <c r="H153" s="72"/>
      <c r="J153" s="73" t="s">
        <v>173</v>
      </c>
      <c r="K153" s="74">
        <v>3.2425023593938218</v>
      </c>
    </row>
    <row r="154" spans="1:21" ht="15" thickBot="1" x14ac:dyDescent="0.35">
      <c r="A154" s="55" t="s">
        <v>174</v>
      </c>
      <c r="B154" s="12">
        <v>5</v>
      </c>
      <c r="C154" s="48"/>
      <c r="D154" s="12" t="s">
        <v>175</v>
      </c>
      <c r="E154" s="12">
        <v>4</v>
      </c>
      <c r="F154" s="48"/>
      <c r="G154" s="48"/>
      <c r="H154" s="75"/>
    </row>
    <row r="155" spans="1:21" x14ac:dyDescent="0.3">
      <c r="A155" s="12" t="s">
        <v>176</v>
      </c>
      <c r="B155" s="84">
        <f>B153-H151/B151/B152</f>
        <v>-7.1878513056179365</v>
      </c>
      <c r="C155" s="48"/>
      <c r="D155" s="12" t="s">
        <v>177</v>
      </c>
      <c r="E155" s="84">
        <f>E153+H152/E151/E152</f>
        <v>42.710519726157806</v>
      </c>
      <c r="F155" s="48"/>
      <c r="G155" s="48"/>
      <c r="H155" s="75"/>
      <c r="J155" s="220" t="s">
        <v>178</v>
      </c>
      <c r="K155" s="221"/>
    </row>
    <row r="156" spans="1:21" ht="15" thickBot="1" x14ac:dyDescent="0.35">
      <c r="A156" s="212" t="s">
        <v>13</v>
      </c>
      <c r="B156" s="213"/>
      <c r="C156" s="65"/>
      <c r="D156" s="65"/>
      <c r="E156" s="65"/>
      <c r="F156" s="48"/>
      <c r="G156" s="48"/>
      <c r="H156" s="75"/>
      <c r="J156" s="59" t="s">
        <v>179</v>
      </c>
      <c r="K156" s="58">
        <v>2.2656940670216028</v>
      </c>
    </row>
    <row r="157" spans="1:21" ht="15" thickTop="1" x14ac:dyDescent="0.3">
      <c r="A157" s="46" t="s">
        <v>22</v>
      </c>
      <c r="B157" s="47" t="s">
        <v>21</v>
      </c>
      <c r="C157" s="65"/>
      <c r="D157" s="65"/>
      <c r="E157" s="65"/>
      <c r="F157" s="48"/>
      <c r="G157" s="48"/>
      <c r="H157" s="75"/>
      <c r="J157" s="59" t="s">
        <v>180</v>
      </c>
      <c r="K157" s="77">
        <v>6.7665757575757581</v>
      </c>
    </row>
    <row r="158" spans="1:21" x14ac:dyDescent="0.3">
      <c r="A158" s="55" t="s">
        <v>181</v>
      </c>
      <c r="B158" s="12">
        <v>8.9</v>
      </c>
      <c r="C158" s="65"/>
      <c r="D158" s="65"/>
      <c r="E158" s="65"/>
      <c r="F158" s="48"/>
      <c r="G158" s="65"/>
      <c r="H158" s="75"/>
      <c r="J158" s="59" t="s">
        <v>182</v>
      </c>
      <c r="K158" s="77">
        <v>0</v>
      </c>
    </row>
    <row r="159" spans="1:21" ht="15" thickBot="1" x14ac:dyDescent="0.35">
      <c r="A159" s="78" t="s">
        <v>183</v>
      </c>
      <c r="B159" s="60">
        <v>0.92309783850684768</v>
      </c>
      <c r="C159" s="65"/>
      <c r="D159" s="79"/>
      <c r="E159" s="65"/>
      <c r="F159" s="48"/>
      <c r="G159" s="48"/>
      <c r="H159" s="75"/>
      <c r="J159" s="66" t="s">
        <v>184</v>
      </c>
      <c r="K159" s="80">
        <v>8.7860000000000031</v>
      </c>
    </row>
    <row r="160" spans="1:21" x14ac:dyDescent="0.3">
      <c r="A160" s="78" t="s">
        <v>185</v>
      </c>
      <c r="B160" s="60">
        <v>0.65380628811493346</v>
      </c>
      <c r="C160" s="65"/>
      <c r="D160" s="79"/>
      <c r="E160" s="65"/>
      <c r="F160" s="48"/>
      <c r="G160" s="48"/>
      <c r="H160" s="75"/>
    </row>
    <row r="161" spans="1:20" ht="15" thickBot="1" x14ac:dyDescent="0.35">
      <c r="A161" s="81" t="s">
        <v>186</v>
      </c>
      <c r="B161" s="67">
        <v>8.2155707627109447</v>
      </c>
      <c r="C161" s="82"/>
      <c r="D161" s="82"/>
      <c r="E161" s="82"/>
      <c r="F161" s="68"/>
      <c r="G161" s="68"/>
      <c r="H161" s="83"/>
    </row>
    <row r="164" spans="1:20" ht="16.2" x14ac:dyDescent="0.3">
      <c r="J164" s="164" t="s">
        <v>236</v>
      </c>
      <c r="K164" s="168">
        <v>0.1129</v>
      </c>
      <c r="L164" s="165">
        <v>0.10521516882455076</v>
      </c>
      <c r="M164" s="165">
        <v>0.11309931732470686</v>
      </c>
      <c r="N164" s="165">
        <v>0.13038043020812534</v>
      </c>
      <c r="O164" s="165">
        <v>0.12901565255168132</v>
      </c>
      <c r="P164" s="165">
        <v>6.2146876308956135E-2</v>
      </c>
      <c r="Q164" s="171">
        <v>5.9320038272660393E-2</v>
      </c>
      <c r="R164" s="165">
        <v>5.9135663064759217E-2</v>
      </c>
      <c r="S164" s="165">
        <v>5.0657350090067076E-2</v>
      </c>
      <c r="T164" s="165">
        <v>5.1185541988122342E-2</v>
      </c>
    </row>
    <row r="165" spans="1:20" x14ac:dyDescent="0.3">
      <c r="J165" s="164" t="s">
        <v>161</v>
      </c>
      <c r="K165" s="169">
        <v>6.1829999999999998</v>
      </c>
      <c r="L165" s="167">
        <v>6.6466277867569605</v>
      </c>
      <c r="M165" s="167">
        <v>7.7437467627649337</v>
      </c>
      <c r="N165" s="167">
        <v>6.2793970772846937</v>
      </c>
      <c r="O165" s="167">
        <v>6.4020738653052236</v>
      </c>
      <c r="P165" s="167">
        <v>2.857845667578141</v>
      </c>
      <c r="Q165" s="172">
        <v>2.9664691875839497</v>
      </c>
      <c r="R165" s="167">
        <v>3.7048764178718776</v>
      </c>
      <c r="S165" s="167">
        <v>2.8806828073948432</v>
      </c>
      <c r="T165" s="167">
        <v>3.4976007397533326</v>
      </c>
    </row>
    <row r="166" spans="1:20" ht="15.6" x14ac:dyDescent="0.3">
      <c r="J166" s="164" t="s">
        <v>210</v>
      </c>
      <c r="K166" s="169">
        <v>18.564</v>
      </c>
      <c r="L166" s="167">
        <v>16.602615542206543</v>
      </c>
      <c r="M166" s="167">
        <v>16.535897980296632</v>
      </c>
      <c r="N166" s="167">
        <v>21.484625513308501</v>
      </c>
      <c r="O166" s="167">
        <v>21.047972140309113</v>
      </c>
      <c r="P166" s="167">
        <v>10.657406283499023</v>
      </c>
      <c r="Q166" s="172">
        <v>9.9705056054454744</v>
      </c>
      <c r="R166" s="167">
        <v>8.8923183073757261</v>
      </c>
      <c r="S166" s="167">
        <v>8.5338250097949544</v>
      </c>
      <c r="T166" s="167">
        <v>7.8433779111144251</v>
      </c>
    </row>
    <row r="167" spans="1:20" ht="15.6" x14ac:dyDescent="0.3">
      <c r="J167" s="164" t="s">
        <v>219</v>
      </c>
      <c r="K167" s="169">
        <v>24.747</v>
      </c>
      <c r="L167" s="167">
        <v>23.249243328963502</v>
      </c>
      <c r="M167" s="167">
        <v>24.279644743061567</v>
      </c>
      <c r="N167" s="167">
        <v>27.764022590593196</v>
      </c>
      <c r="O167" s="167">
        <v>27.450046005614336</v>
      </c>
      <c r="P167" s="167">
        <v>13.515251951077165</v>
      </c>
      <c r="Q167" s="172">
        <v>12.936974793029425</v>
      </c>
      <c r="R167" s="167">
        <v>12.597194725247604</v>
      </c>
      <c r="S167" s="167">
        <v>11.414507817189797</v>
      </c>
      <c r="T167" s="167">
        <v>11.340978650867758</v>
      </c>
    </row>
    <row r="168" spans="1:20" x14ac:dyDescent="0.3">
      <c r="J168" s="164" t="s">
        <v>173</v>
      </c>
      <c r="K168" s="170">
        <v>4.0030000000000001</v>
      </c>
      <c r="L168" s="166">
        <v>3.4979006008560218</v>
      </c>
      <c r="M168" s="166">
        <v>3.1353872339689515</v>
      </c>
      <c r="N168" s="166">
        <v>4.421447194512945</v>
      </c>
      <c r="O168" s="166">
        <v>4.2876803022180745</v>
      </c>
      <c r="P168" s="166">
        <v>4.7291748831666478</v>
      </c>
      <c r="Q168" s="173">
        <v>4.3610683189215882</v>
      </c>
      <c r="R168" s="166">
        <v>3.4001659716583945</v>
      </c>
      <c r="S168" s="166">
        <v>3.9624313332548238</v>
      </c>
      <c r="T168" s="166">
        <v>3.2425023593938218</v>
      </c>
    </row>
  </sheetData>
  <mergeCells count="60">
    <mergeCell ref="A156:B156"/>
    <mergeCell ref="A132:B132"/>
    <mergeCell ref="D132:E132"/>
    <mergeCell ref="G132:H132"/>
    <mergeCell ref="J132:K132"/>
    <mergeCell ref="J139:K139"/>
    <mergeCell ref="A140:B140"/>
    <mergeCell ref="A148:B148"/>
    <mergeCell ref="D148:E148"/>
    <mergeCell ref="G148:H148"/>
    <mergeCell ref="J148:K148"/>
    <mergeCell ref="J155:K155"/>
    <mergeCell ref="A124:B124"/>
    <mergeCell ref="A100:B100"/>
    <mergeCell ref="D100:E100"/>
    <mergeCell ref="G100:H100"/>
    <mergeCell ref="J100:K100"/>
    <mergeCell ref="J107:K107"/>
    <mergeCell ref="A108:B108"/>
    <mergeCell ref="A116:B116"/>
    <mergeCell ref="D116:E116"/>
    <mergeCell ref="G116:H116"/>
    <mergeCell ref="J116:K116"/>
    <mergeCell ref="J123:K123"/>
    <mergeCell ref="A92:B92"/>
    <mergeCell ref="A68:B68"/>
    <mergeCell ref="D68:E68"/>
    <mergeCell ref="G68:H68"/>
    <mergeCell ref="J68:K68"/>
    <mergeCell ref="J75:K75"/>
    <mergeCell ref="A76:B76"/>
    <mergeCell ref="A84:B84"/>
    <mergeCell ref="D84:E84"/>
    <mergeCell ref="G84:H84"/>
    <mergeCell ref="J84:K84"/>
    <mergeCell ref="J91:K91"/>
    <mergeCell ref="A60:B60"/>
    <mergeCell ref="A36:B36"/>
    <mergeCell ref="D36:E36"/>
    <mergeCell ref="G36:H36"/>
    <mergeCell ref="J36:K36"/>
    <mergeCell ref="J43:K43"/>
    <mergeCell ref="A44:B44"/>
    <mergeCell ref="A52:B52"/>
    <mergeCell ref="D52:E52"/>
    <mergeCell ref="G52:H52"/>
    <mergeCell ref="J52:K52"/>
    <mergeCell ref="J59:K59"/>
    <mergeCell ref="A27:B27"/>
    <mergeCell ref="A2:B2"/>
    <mergeCell ref="D2:E2"/>
    <mergeCell ref="G2:H2"/>
    <mergeCell ref="J2:K2"/>
    <mergeCell ref="J9:K9"/>
    <mergeCell ref="A10:B10"/>
    <mergeCell ref="A19:B19"/>
    <mergeCell ref="D19:E19"/>
    <mergeCell ref="G19:H19"/>
    <mergeCell ref="J19:K19"/>
    <mergeCell ref="J26:K26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U30"/>
  <sheetViews>
    <sheetView workbookViewId="0">
      <selection activeCell="E9" sqref="E9"/>
    </sheetView>
  </sheetViews>
  <sheetFormatPr defaultRowHeight="14.4" x14ac:dyDescent="0.3"/>
  <cols>
    <col min="1" max="1" width="14.109375" bestFit="1" customWidth="1"/>
    <col min="2" max="2" width="6.44140625" bestFit="1" customWidth="1"/>
    <col min="4" max="4" width="14.33203125" bestFit="1" customWidth="1"/>
    <col min="5" max="5" width="12" bestFit="1" customWidth="1"/>
    <col min="7" max="7" width="7.5546875" bestFit="1" customWidth="1"/>
    <col min="8" max="8" width="6.44140625" bestFit="1" customWidth="1"/>
    <col min="10" max="10" width="10" bestFit="1" customWidth="1"/>
    <col min="11" max="11" width="12" bestFit="1" customWidth="1"/>
    <col min="13" max="13" width="8.6640625" bestFit="1" customWidth="1"/>
    <col min="14" max="14" width="6.44140625" bestFit="1" customWidth="1"/>
    <col min="15" max="15" width="7.6640625" bestFit="1" customWidth="1"/>
    <col min="16" max="16" width="9.33203125" bestFit="1" customWidth="1"/>
    <col min="17" max="17" width="9" bestFit="1" customWidth="1"/>
    <col min="18" max="18" width="10.88671875" bestFit="1" customWidth="1"/>
    <col min="19" max="19" width="8.77734375" bestFit="1" customWidth="1"/>
    <col min="20" max="20" width="9.21875" bestFit="1" customWidth="1"/>
    <col min="21" max="21" width="11.33203125" bestFit="1" customWidth="1"/>
  </cols>
  <sheetData>
    <row r="1" spans="1:21" ht="15" thickBot="1" x14ac:dyDescent="0.35">
      <c r="A1" s="214" t="s">
        <v>141</v>
      </c>
      <c r="B1" s="215"/>
      <c r="C1" s="41"/>
      <c r="D1" s="215" t="s">
        <v>142</v>
      </c>
      <c r="E1" s="215"/>
      <c r="F1" s="42"/>
      <c r="G1" s="216" t="s">
        <v>143</v>
      </c>
      <c r="H1" s="217"/>
      <c r="J1" s="218" t="s">
        <v>144</v>
      </c>
      <c r="K1" s="219"/>
      <c r="L1" s="42"/>
      <c r="M1" s="43"/>
      <c r="N1" s="44" t="s">
        <v>145</v>
      </c>
      <c r="O1" s="44" t="s">
        <v>146</v>
      </c>
      <c r="P1" s="44" t="s">
        <v>147</v>
      </c>
      <c r="Q1" s="44" t="s">
        <v>148</v>
      </c>
      <c r="R1" s="44" t="s">
        <v>149</v>
      </c>
      <c r="S1" s="44" t="s">
        <v>150</v>
      </c>
      <c r="T1" s="44" t="s">
        <v>151</v>
      </c>
      <c r="U1" s="45" t="s">
        <v>152</v>
      </c>
    </row>
    <row r="2" spans="1:21" ht="16.2" thickTop="1" x14ac:dyDescent="0.35">
      <c r="A2" s="46" t="s">
        <v>153</v>
      </c>
      <c r="B2" s="47">
        <v>4.68</v>
      </c>
      <c r="C2" s="48"/>
      <c r="D2" s="47" t="s">
        <v>154</v>
      </c>
      <c r="E2" s="47">
        <v>1.49</v>
      </c>
      <c r="F2" s="48"/>
      <c r="G2" s="49" t="s">
        <v>155</v>
      </c>
      <c r="H2" s="50">
        <v>-5.6080325774426765</v>
      </c>
      <c r="J2" s="51" t="s">
        <v>156</v>
      </c>
      <c r="K2" s="52">
        <v>0.11359169917109384</v>
      </c>
      <c r="L2" s="48"/>
      <c r="M2" s="49" t="s">
        <v>157</v>
      </c>
      <c r="N2" s="53">
        <v>659.06920119851634</v>
      </c>
      <c r="O2" s="53">
        <v>2487.3903241110784</v>
      </c>
      <c r="P2" s="53">
        <v>2487.3903241110784</v>
      </c>
      <c r="Q2" s="53">
        <v>2487.3903241110784</v>
      </c>
      <c r="R2" s="53">
        <v>2487.3903241110784</v>
      </c>
      <c r="S2" s="53">
        <v>2487.3903241110784</v>
      </c>
      <c r="T2" s="53">
        <v>664.73243097447437</v>
      </c>
      <c r="U2" s="54">
        <v>664.73243097447437</v>
      </c>
    </row>
    <row r="3" spans="1:21" x14ac:dyDescent="0.3">
      <c r="A3" s="55" t="s">
        <v>158</v>
      </c>
      <c r="B3" s="56">
        <v>1.0259861890154645</v>
      </c>
      <c r="C3" s="48"/>
      <c r="D3" s="12" t="s">
        <v>159</v>
      </c>
      <c r="E3" s="56">
        <v>2.031198849375933</v>
      </c>
      <c r="F3" s="48"/>
      <c r="G3" s="57" t="s">
        <v>160</v>
      </c>
      <c r="H3" s="58">
        <v>41.158935546875</v>
      </c>
      <c r="J3" s="59" t="s">
        <v>161</v>
      </c>
      <c r="K3" s="60">
        <v>6.1875020802343057</v>
      </c>
      <c r="L3" s="48"/>
      <c r="M3" s="57" t="s">
        <v>162</v>
      </c>
      <c r="N3" s="61">
        <v>-0.60803257744267647</v>
      </c>
      <c r="O3" s="61">
        <v>67.060270306726466</v>
      </c>
      <c r="P3" s="61">
        <v>80.507387915426079</v>
      </c>
      <c r="Q3" s="61">
        <v>41.162091041245901</v>
      </c>
      <c r="R3" s="61">
        <v>41.043847704620475</v>
      </c>
      <c r="S3" s="61">
        <v>37.043847704620475</v>
      </c>
      <c r="T3" s="61">
        <v>-5.6775004874800743</v>
      </c>
      <c r="U3" s="62">
        <v>-5.6080325774426765</v>
      </c>
    </row>
    <row r="4" spans="1:21" ht="15.6" x14ac:dyDescent="0.35">
      <c r="A4" s="63" t="s">
        <v>163</v>
      </c>
      <c r="B4" s="64">
        <v>1.7450000000000001</v>
      </c>
      <c r="C4" s="48"/>
      <c r="D4" s="64" t="s">
        <v>164</v>
      </c>
      <c r="E4" s="64">
        <v>1.2</v>
      </c>
      <c r="F4" s="48"/>
      <c r="G4" s="57" t="s">
        <v>165</v>
      </c>
      <c r="H4" s="58">
        <v>18.81534147169944</v>
      </c>
      <c r="J4" s="59" t="s">
        <v>165</v>
      </c>
      <c r="K4" s="60">
        <v>18.675326891196576</v>
      </c>
      <c r="L4" s="48"/>
      <c r="M4" s="57" t="s">
        <v>166</v>
      </c>
      <c r="N4" s="61">
        <v>425.04094424193903</v>
      </c>
      <c r="O4" s="61">
        <v>463.16368661284577</v>
      </c>
      <c r="P4" s="61">
        <v>479.51237239545736</v>
      </c>
      <c r="Q4" s="61">
        <v>425.19693298102811</v>
      </c>
      <c r="R4" s="61">
        <v>268.2773990509146</v>
      </c>
      <c r="S4" s="61">
        <v>260.63344767770974</v>
      </c>
      <c r="T4" s="61">
        <v>260.63344767770974</v>
      </c>
      <c r="U4" s="62">
        <v>419.58544236958323</v>
      </c>
    </row>
    <row r="5" spans="1:21" ht="16.2" thickBot="1" x14ac:dyDescent="0.4">
      <c r="A5" s="55" t="s">
        <v>167</v>
      </c>
      <c r="B5" s="12">
        <v>3.5950000000000002</v>
      </c>
      <c r="C5" s="65"/>
      <c r="D5" s="12" t="s">
        <v>168</v>
      </c>
      <c r="E5" s="12">
        <v>4.1900000000000004</v>
      </c>
      <c r="F5" s="48"/>
      <c r="G5" s="57" t="s">
        <v>169</v>
      </c>
      <c r="H5" s="58">
        <v>25.372407457570155</v>
      </c>
      <c r="J5" s="66" t="s">
        <v>169</v>
      </c>
      <c r="K5" s="67">
        <v>24.862828971430883</v>
      </c>
      <c r="L5" s="68"/>
      <c r="M5" s="69" t="s">
        <v>170</v>
      </c>
      <c r="N5" s="67">
        <v>1.8426226253651772</v>
      </c>
      <c r="O5" s="67">
        <v>1.8426226253651772</v>
      </c>
      <c r="P5" s="70"/>
      <c r="Q5" s="70"/>
      <c r="R5" s="70"/>
      <c r="S5" s="70"/>
      <c r="T5" s="70"/>
      <c r="U5" s="71"/>
    </row>
    <row r="6" spans="1:21" ht="15" thickBot="1" x14ac:dyDescent="0.35">
      <c r="A6" s="63" t="s">
        <v>171</v>
      </c>
      <c r="B6" s="64">
        <v>0</v>
      </c>
      <c r="C6" s="48"/>
      <c r="D6" s="64" t="s">
        <v>172</v>
      </c>
      <c r="E6" s="64">
        <v>30</v>
      </c>
      <c r="F6" s="48"/>
      <c r="G6" s="48"/>
      <c r="H6" s="72"/>
      <c r="J6" s="73" t="s">
        <v>173</v>
      </c>
      <c r="K6" s="74">
        <v>4.0182336343536855</v>
      </c>
    </row>
    <row r="7" spans="1:21" ht="15" thickBot="1" x14ac:dyDescent="0.35">
      <c r="A7" s="55" t="s">
        <v>174</v>
      </c>
      <c r="B7" s="12">
        <v>5</v>
      </c>
      <c r="C7" s="48"/>
      <c r="D7" s="12" t="s">
        <v>175</v>
      </c>
      <c r="E7" s="12">
        <v>4</v>
      </c>
      <c r="F7" s="48"/>
      <c r="G7" s="48"/>
      <c r="H7" s="75"/>
    </row>
    <row r="8" spans="1:21" x14ac:dyDescent="0.3">
      <c r="A8" s="12" t="s">
        <v>176</v>
      </c>
      <c r="B8" s="84">
        <f>B6-H4/B4/B5</f>
        <v>-2.9992852970257862</v>
      </c>
      <c r="C8" s="48"/>
      <c r="D8" s="12" t="s">
        <v>177</v>
      </c>
      <c r="E8" s="84">
        <f>E6+H5/E4/E5</f>
        <v>35.04622264470369</v>
      </c>
      <c r="F8" s="48"/>
      <c r="G8" s="48"/>
      <c r="H8" s="75"/>
      <c r="J8" s="220" t="s">
        <v>178</v>
      </c>
      <c r="K8" s="221"/>
    </row>
    <row r="9" spans="1:21" ht="15" thickBot="1" x14ac:dyDescent="0.35">
      <c r="A9" s="212" t="s">
        <v>13</v>
      </c>
      <c r="B9" s="213"/>
      <c r="C9" s="65"/>
      <c r="D9" s="65"/>
      <c r="E9" s="65"/>
      <c r="F9" s="48"/>
      <c r="G9" s="48"/>
      <c r="H9" s="75"/>
      <c r="J9" s="59" t="s">
        <v>179</v>
      </c>
      <c r="K9" s="58">
        <v>5.6632297759580208</v>
      </c>
    </row>
    <row r="10" spans="1:21" ht="15" thickTop="1" x14ac:dyDescent="0.3">
      <c r="A10" s="46" t="s">
        <v>22</v>
      </c>
      <c r="B10" s="47" t="s">
        <v>21</v>
      </c>
      <c r="C10" s="65"/>
      <c r="D10" s="65" t="s">
        <v>187</v>
      </c>
      <c r="E10" s="65"/>
      <c r="F10" s="48"/>
      <c r="G10" s="48"/>
      <c r="H10" s="75"/>
      <c r="J10" s="59" t="s">
        <v>180</v>
      </c>
      <c r="K10" s="77">
        <v>18.349787784090914</v>
      </c>
    </row>
    <row r="11" spans="1:21" x14ac:dyDescent="0.3">
      <c r="A11" s="55" t="s">
        <v>181</v>
      </c>
      <c r="B11" s="12">
        <v>8.9</v>
      </c>
      <c r="C11" s="65"/>
      <c r="D11" s="65"/>
      <c r="E11" s="65"/>
      <c r="F11" s="48"/>
      <c r="G11" s="65"/>
      <c r="H11" s="75"/>
      <c r="J11" s="59" t="s">
        <v>182</v>
      </c>
      <c r="K11" s="77">
        <v>0</v>
      </c>
    </row>
    <row r="12" spans="1:21" ht="15" thickBot="1" x14ac:dyDescent="0.35">
      <c r="A12" s="78" t="s">
        <v>183</v>
      </c>
      <c r="B12" s="60">
        <v>0.94283466114775627</v>
      </c>
      <c r="C12" s="65"/>
      <c r="D12" s="79"/>
      <c r="E12" s="65"/>
      <c r="F12" s="48"/>
      <c r="G12" s="48"/>
      <c r="H12" s="75"/>
      <c r="J12" s="66" t="s">
        <v>184</v>
      </c>
      <c r="K12" s="80">
        <v>25.097775000000009</v>
      </c>
    </row>
    <row r="13" spans="1:21" x14ac:dyDescent="0.3">
      <c r="A13" s="78" t="s">
        <v>185</v>
      </c>
      <c r="B13" s="60">
        <v>0.69986676801394598</v>
      </c>
      <c r="C13" s="65"/>
      <c r="D13" s="79"/>
      <c r="E13" s="65"/>
      <c r="F13" s="48"/>
      <c r="G13" s="48"/>
      <c r="H13" s="75"/>
    </row>
    <row r="14" spans="1:21" ht="15" thickBot="1" x14ac:dyDescent="0.35">
      <c r="A14" s="81" t="s">
        <v>186</v>
      </c>
      <c r="B14" s="67">
        <v>16.782456968430061</v>
      </c>
      <c r="C14" s="82"/>
      <c r="D14" s="82"/>
      <c r="E14" s="82"/>
      <c r="F14" s="68"/>
      <c r="G14" s="68"/>
      <c r="H14" s="83"/>
    </row>
    <row r="16" spans="1:21" ht="15" thickBot="1" x14ac:dyDescent="0.35"/>
    <row r="17" spans="1:21" ht="15" thickBot="1" x14ac:dyDescent="0.35">
      <c r="A17" s="214" t="s">
        <v>141</v>
      </c>
      <c r="B17" s="215"/>
      <c r="C17" s="41"/>
      <c r="D17" s="215" t="s">
        <v>142</v>
      </c>
      <c r="E17" s="215"/>
      <c r="F17" s="42"/>
      <c r="G17" s="216" t="s">
        <v>143</v>
      </c>
      <c r="H17" s="217"/>
      <c r="J17" s="218" t="s">
        <v>144</v>
      </c>
      <c r="K17" s="219"/>
      <c r="L17" s="42"/>
      <c r="M17" s="43"/>
      <c r="N17" s="44" t="s">
        <v>145</v>
      </c>
      <c r="O17" s="44" t="s">
        <v>146</v>
      </c>
      <c r="P17" s="44" t="s">
        <v>147</v>
      </c>
      <c r="Q17" s="44" t="s">
        <v>148</v>
      </c>
      <c r="R17" s="44" t="s">
        <v>149</v>
      </c>
      <c r="S17" s="44" t="s">
        <v>150</v>
      </c>
      <c r="T17" s="44" t="s">
        <v>151</v>
      </c>
      <c r="U17" s="45" t="s">
        <v>152</v>
      </c>
    </row>
    <row r="18" spans="1:21" ht="16.2" thickTop="1" x14ac:dyDescent="0.35">
      <c r="A18" s="46" t="s">
        <v>153</v>
      </c>
      <c r="B18" s="47">
        <v>4.68</v>
      </c>
      <c r="C18" s="48"/>
      <c r="D18" s="47" t="s">
        <v>154</v>
      </c>
      <c r="E18" s="47">
        <v>1.49</v>
      </c>
      <c r="F18" s="48"/>
      <c r="G18" s="49" t="s">
        <v>155</v>
      </c>
      <c r="H18" s="50">
        <v>-4.2674242036783889</v>
      </c>
      <c r="J18" s="51" t="s">
        <v>156</v>
      </c>
      <c r="K18" s="52">
        <v>6.0126997370510096E-2</v>
      </c>
      <c r="L18" s="48"/>
      <c r="M18" s="49" t="s">
        <v>157</v>
      </c>
      <c r="N18" s="53">
        <v>692.08490188514179</v>
      </c>
      <c r="O18" s="53">
        <v>2367.5073569884685</v>
      </c>
      <c r="P18" s="53">
        <v>2367.5073569884685</v>
      </c>
      <c r="Q18" s="53">
        <v>2367.5073569884685</v>
      </c>
      <c r="R18" s="53">
        <v>2367.5073569884685</v>
      </c>
      <c r="S18" s="53">
        <v>2367.5073569884685</v>
      </c>
      <c r="T18" s="53">
        <v>694.94703564896315</v>
      </c>
      <c r="U18" s="54">
        <v>694.94703564896315</v>
      </c>
    </row>
    <row r="19" spans="1:21" x14ac:dyDescent="0.3">
      <c r="A19" s="55" t="s">
        <v>158</v>
      </c>
      <c r="B19" s="56">
        <v>0.87935192448519039</v>
      </c>
      <c r="C19" s="48"/>
      <c r="D19" s="12" t="s">
        <v>159</v>
      </c>
      <c r="E19" s="56">
        <v>1.4132912527441717</v>
      </c>
      <c r="F19" s="48"/>
      <c r="G19" s="57" t="s">
        <v>160</v>
      </c>
      <c r="H19" s="58">
        <v>39.12255859375</v>
      </c>
      <c r="J19" s="59" t="s">
        <v>161</v>
      </c>
      <c r="K19" s="60">
        <v>2.9577020261509173</v>
      </c>
      <c r="L19" s="48"/>
      <c r="M19" s="57" t="s">
        <v>162</v>
      </c>
      <c r="N19" s="61">
        <v>0.73257579632161107</v>
      </c>
      <c r="O19" s="61">
        <v>63.335929868841106</v>
      </c>
      <c r="P19" s="61">
        <v>74.934961934208445</v>
      </c>
      <c r="Q19" s="61">
        <v>39.126872657706883</v>
      </c>
      <c r="R19" s="61">
        <v>39.008348363546872</v>
      </c>
      <c r="S19" s="61">
        <v>35.008348363546872</v>
      </c>
      <c r="T19" s="61">
        <v>-4.3397081359358936</v>
      </c>
      <c r="U19" s="62">
        <v>-4.2674242036783889</v>
      </c>
    </row>
    <row r="20" spans="1:21" ht="15.6" x14ac:dyDescent="0.35">
      <c r="A20" s="63" t="s">
        <v>163</v>
      </c>
      <c r="B20" s="64">
        <v>0.94</v>
      </c>
      <c r="C20" s="48"/>
      <c r="D20" s="64" t="s">
        <v>164</v>
      </c>
      <c r="E20" s="64">
        <v>0.64</v>
      </c>
      <c r="F20" s="48"/>
      <c r="G20" s="57" t="s">
        <v>165</v>
      </c>
      <c r="H20" s="58">
        <v>10.153170033309017</v>
      </c>
      <c r="J20" s="59" t="s">
        <v>165</v>
      </c>
      <c r="K20" s="60">
        <v>10.128991019259828</v>
      </c>
      <c r="L20" s="48"/>
      <c r="M20" s="57" t="s">
        <v>166</v>
      </c>
      <c r="N20" s="61">
        <v>425.45657037039217</v>
      </c>
      <c r="O20" s="61">
        <v>460.56394355893121</v>
      </c>
      <c r="P20" s="61">
        <v>474.64748552494723</v>
      </c>
      <c r="Q20" s="61">
        <v>425.62650915638551</v>
      </c>
      <c r="R20" s="61">
        <v>264.48539733942096</v>
      </c>
      <c r="S20" s="61">
        <v>256.99661956254266</v>
      </c>
      <c r="T20" s="61">
        <v>256.99661956254266</v>
      </c>
      <c r="U20" s="62">
        <v>420.03441942225106</v>
      </c>
    </row>
    <row r="21" spans="1:21" ht="16.2" thickBot="1" x14ac:dyDescent="0.4">
      <c r="A21" s="55" t="s">
        <v>167</v>
      </c>
      <c r="B21" s="12">
        <v>3.5950000000000002</v>
      </c>
      <c r="C21" s="65"/>
      <c r="D21" s="12" t="s">
        <v>168</v>
      </c>
      <c r="E21" s="12">
        <v>4.1900000000000004</v>
      </c>
      <c r="F21" s="48"/>
      <c r="G21" s="57" t="s">
        <v>169</v>
      </c>
      <c r="H21" s="58">
        <v>13.309291451725203</v>
      </c>
      <c r="J21" s="66" t="s">
        <v>169</v>
      </c>
      <c r="K21" s="67">
        <v>13.086693045410744</v>
      </c>
      <c r="L21" s="68"/>
      <c r="M21" s="69" t="s">
        <v>170</v>
      </c>
      <c r="N21" s="67">
        <v>1.8393055679730907</v>
      </c>
      <c r="O21" s="67">
        <v>1.8393055679730907</v>
      </c>
      <c r="P21" s="70"/>
      <c r="Q21" s="70"/>
      <c r="R21" s="70"/>
      <c r="S21" s="70"/>
      <c r="T21" s="70"/>
      <c r="U21" s="71"/>
    </row>
    <row r="22" spans="1:21" ht="15" thickBot="1" x14ac:dyDescent="0.35">
      <c r="A22" s="63" t="s">
        <v>171</v>
      </c>
      <c r="B22" s="64">
        <v>0</v>
      </c>
      <c r="C22" s="48"/>
      <c r="D22" s="64" t="s">
        <v>172</v>
      </c>
      <c r="E22" s="64">
        <v>30</v>
      </c>
      <c r="F22" s="48"/>
      <c r="G22" s="48"/>
      <c r="H22" s="72"/>
      <c r="J22" s="73" t="s">
        <v>173</v>
      </c>
      <c r="K22" s="74">
        <v>4.4246150997304667</v>
      </c>
    </row>
    <row r="23" spans="1:21" ht="15" thickBot="1" x14ac:dyDescent="0.35">
      <c r="A23" s="55" t="s">
        <v>174</v>
      </c>
      <c r="B23" s="12">
        <v>5</v>
      </c>
      <c r="C23" s="48"/>
      <c r="D23" s="12" t="s">
        <v>175</v>
      </c>
      <c r="E23" s="12">
        <v>4</v>
      </c>
      <c r="F23" s="48"/>
      <c r="G23" s="48"/>
      <c r="H23" s="75"/>
    </row>
    <row r="24" spans="1:21" x14ac:dyDescent="0.3">
      <c r="A24" s="12" t="s">
        <v>176</v>
      </c>
      <c r="B24" s="84">
        <f>B22-H20/B20/B21</f>
        <v>-3.004518697158884</v>
      </c>
      <c r="C24" s="48"/>
      <c r="D24" s="12" t="s">
        <v>177</v>
      </c>
      <c r="E24" s="84">
        <f>E22+H21/E20/E21</f>
        <v>34.963190428000146</v>
      </c>
      <c r="F24" s="48"/>
      <c r="G24" s="48"/>
      <c r="H24" s="75"/>
      <c r="J24" s="220" t="s">
        <v>178</v>
      </c>
      <c r="K24" s="221"/>
    </row>
    <row r="25" spans="1:21" ht="15" thickBot="1" x14ac:dyDescent="0.35">
      <c r="A25" s="212" t="s">
        <v>13</v>
      </c>
      <c r="B25" s="213"/>
      <c r="C25" s="65"/>
      <c r="D25" s="65"/>
      <c r="E25" s="65"/>
      <c r="F25" s="48"/>
      <c r="G25" s="48"/>
      <c r="H25" s="75"/>
      <c r="J25" s="59" t="s">
        <v>179</v>
      </c>
      <c r="K25" s="58">
        <v>2.8621337638213333</v>
      </c>
    </row>
    <row r="26" spans="1:21" ht="15" thickTop="1" x14ac:dyDescent="0.3">
      <c r="A26" s="46" t="s">
        <v>22</v>
      </c>
      <c r="B26" s="47" t="s">
        <v>21</v>
      </c>
      <c r="C26" s="65"/>
      <c r="D26" s="65"/>
      <c r="E26" s="65"/>
      <c r="F26" s="48"/>
      <c r="G26" s="48"/>
      <c r="H26" s="75"/>
      <c r="J26" s="59" t="s">
        <v>180</v>
      </c>
      <c r="K26" s="77">
        <v>6.0523303030303035</v>
      </c>
    </row>
    <row r="27" spans="1:21" x14ac:dyDescent="0.3">
      <c r="A27" s="55" t="s">
        <v>181</v>
      </c>
      <c r="B27" s="12">
        <v>8.9</v>
      </c>
      <c r="C27" s="65"/>
      <c r="D27" s="65"/>
      <c r="E27" s="65"/>
      <c r="F27" s="48"/>
      <c r="G27" s="65"/>
      <c r="H27" s="75"/>
      <c r="J27" s="59" t="s">
        <v>182</v>
      </c>
      <c r="K27" s="77">
        <v>0</v>
      </c>
    </row>
    <row r="28" spans="1:21" ht="15" thickBot="1" x14ac:dyDescent="0.35">
      <c r="A28" s="78" t="s">
        <v>183</v>
      </c>
      <c r="B28" s="60">
        <v>0.95015662556016001</v>
      </c>
      <c r="C28" s="65"/>
      <c r="D28" s="79"/>
      <c r="E28" s="65"/>
      <c r="F28" s="48"/>
      <c r="G28" s="48"/>
      <c r="H28" s="75"/>
      <c r="J28" s="66" t="s">
        <v>184</v>
      </c>
      <c r="K28" s="80">
        <v>7.8104000000000013</v>
      </c>
    </row>
    <row r="29" spans="1:21" x14ac:dyDescent="0.3">
      <c r="A29" s="78" t="s">
        <v>185</v>
      </c>
      <c r="B29" s="60">
        <v>0.71369628066958457</v>
      </c>
      <c r="C29" s="65"/>
      <c r="D29" s="79"/>
      <c r="E29" s="65"/>
      <c r="F29" s="48"/>
      <c r="G29" s="48"/>
      <c r="H29" s="75"/>
    </row>
    <row r="30" spans="1:21" ht="15" thickBot="1" x14ac:dyDescent="0.35">
      <c r="A30" s="81" t="s">
        <v>186</v>
      </c>
      <c r="B30" s="67">
        <v>8.4563939674854236</v>
      </c>
      <c r="C30" s="82"/>
      <c r="D30" s="82"/>
      <c r="E30" s="82"/>
      <c r="F30" s="68"/>
      <c r="G30" s="68"/>
      <c r="H30" s="83"/>
    </row>
  </sheetData>
  <mergeCells count="12">
    <mergeCell ref="A25:B25"/>
    <mergeCell ref="A1:B1"/>
    <mergeCell ref="D1:E1"/>
    <mergeCell ref="G1:H1"/>
    <mergeCell ref="J1:K1"/>
    <mergeCell ref="J8:K8"/>
    <mergeCell ref="A9:B9"/>
    <mergeCell ref="A17:B17"/>
    <mergeCell ref="D17:E17"/>
    <mergeCell ref="G17:H17"/>
    <mergeCell ref="J17:K17"/>
    <mergeCell ref="J24:K24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/>
  <dimension ref="A1:E7"/>
  <sheetViews>
    <sheetView workbookViewId="0">
      <selection activeCell="E7" sqref="A1:E7"/>
    </sheetView>
  </sheetViews>
  <sheetFormatPr defaultRowHeight="14.4" x14ac:dyDescent="0.3"/>
  <cols>
    <col min="1" max="1" width="45.77734375" bestFit="1" customWidth="1"/>
    <col min="2" max="2" width="3.33203125" bestFit="1" customWidth="1"/>
    <col min="3" max="3" width="7.33203125" bestFit="1" customWidth="1"/>
    <col min="4" max="4" width="9.33203125" bestFit="1" customWidth="1"/>
    <col min="5" max="5" width="9.6640625" bestFit="1" customWidth="1"/>
  </cols>
  <sheetData>
    <row r="1" spans="1:5" x14ac:dyDescent="0.3">
      <c r="C1" s="222" t="s">
        <v>74</v>
      </c>
      <c r="D1" s="222"/>
      <c r="E1" s="222"/>
    </row>
    <row r="2" spans="1:5" ht="15" thickBot="1" x14ac:dyDescent="0.35">
      <c r="C2" s="34" t="s">
        <v>63</v>
      </c>
      <c r="D2" s="34" t="s">
        <v>64</v>
      </c>
      <c r="E2" s="34" t="s">
        <v>65</v>
      </c>
    </row>
    <row r="3" spans="1:5" ht="15" thickTop="1" x14ac:dyDescent="0.3">
      <c r="A3" s="16" t="s">
        <v>70</v>
      </c>
      <c r="B3" s="32" t="s">
        <v>75</v>
      </c>
      <c r="C3" s="6">
        <v>4345</v>
      </c>
      <c r="D3" s="6">
        <v>3672</v>
      </c>
      <c r="E3" s="6">
        <v>2189</v>
      </c>
    </row>
    <row r="4" spans="1:5" x14ac:dyDescent="0.3">
      <c r="A4" s="16" t="s">
        <v>71</v>
      </c>
      <c r="B4" s="32" t="s">
        <v>75</v>
      </c>
      <c r="C4" s="2">
        <v>755</v>
      </c>
      <c r="D4" s="2">
        <v>179</v>
      </c>
      <c r="E4" s="2">
        <v>131</v>
      </c>
    </row>
    <row r="5" spans="1:5" x14ac:dyDescent="0.3">
      <c r="A5" s="16" t="s">
        <v>72</v>
      </c>
      <c r="B5" s="33" t="s">
        <v>75</v>
      </c>
      <c r="C5" s="2">
        <v>0</v>
      </c>
      <c r="D5" s="2">
        <v>0</v>
      </c>
      <c r="E5" s="2">
        <v>0</v>
      </c>
    </row>
    <row r="6" spans="1:5" x14ac:dyDescent="0.3">
      <c r="A6" s="16" t="s">
        <v>73</v>
      </c>
      <c r="B6" s="33" t="s">
        <v>75</v>
      </c>
      <c r="C6" s="2">
        <v>1400</v>
      </c>
      <c r="D6" s="2">
        <v>1400</v>
      </c>
      <c r="E6" s="2">
        <v>2100</v>
      </c>
    </row>
    <row r="7" spans="1:5" x14ac:dyDescent="0.3">
      <c r="A7" s="16" t="s">
        <v>76</v>
      </c>
      <c r="B7" s="33" t="s">
        <v>75</v>
      </c>
      <c r="C7" s="2">
        <v>4476</v>
      </c>
      <c r="D7" s="2">
        <v>3851</v>
      </c>
      <c r="E7" s="2">
        <v>2944</v>
      </c>
    </row>
  </sheetData>
  <mergeCells count="1">
    <mergeCell ref="C1:E1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/>
  <dimension ref="A1:P19"/>
  <sheetViews>
    <sheetView workbookViewId="0">
      <selection activeCell="R15" sqref="R15"/>
    </sheetView>
  </sheetViews>
  <sheetFormatPr defaultRowHeight="14.4" x14ac:dyDescent="0.3"/>
  <cols>
    <col min="1" max="1" width="2.21875" bestFit="1" customWidth="1"/>
    <col min="2" max="2" width="8.21875" bestFit="1" customWidth="1"/>
    <col min="3" max="3" width="22.88671875" customWidth="1"/>
    <col min="4" max="4" width="11" customWidth="1"/>
    <col min="5" max="8" width="8.88671875" customWidth="1"/>
    <col min="12" max="12" width="4.77734375" bestFit="1" customWidth="1"/>
    <col min="13" max="13" width="6.21875" bestFit="1" customWidth="1"/>
    <col min="14" max="14" width="7" bestFit="1" customWidth="1"/>
    <col min="15" max="15" width="6.21875" bestFit="1" customWidth="1"/>
    <col min="16" max="16" width="7" bestFit="1" customWidth="1"/>
  </cols>
  <sheetData>
    <row r="1" spans="1:16" x14ac:dyDescent="0.3">
      <c r="B1" t="s">
        <v>188</v>
      </c>
      <c r="M1" s="222" t="s">
        <v>188</v>
      </c>
      <c r="N1" s="222"/>
      <c r="O1" s="222" t="s">
        <v>187</v>
      </c>
      <c r="P1" s="222"/>
    </row>
    <row r="2" spans="1:16" ht="14.4" customHeight="1" x14ac:dyDescent="0.3">
      <c r="B2" s="16" t="s">
        <v>66</v>
      </c>
      <c r="C2" s="223" t="s">
        <v>90</v>
      </c>
      <c r="D2" s="189" t="s">
        <v>91</v>
      </c>
      <c r="E2" s="222" t="s">
        <v>93</v>
      </c>
      <c r="F2" s="222"/>
      <c r="G2" s="222" t="s">
        <v>94</v>
      </c>
      <c r="H2" s="222"/>
      <c r="M2" s="222" t="s">
        <v>238</v>
      </c>
      <c r="N2" s="222"/>
      <c r="O2" s="222" t="s">
        <v>238</v>
      </c>
      <c r="P2" s="222"/>
    </row>
    <row r="3" spans="1:16" ht="15.6" x14ac:dyDescent="0.35">
      <c r="B3" s="16" t="s">
        <v>89</v>
      </c>
      <c r="C3" s="224"/>
      <c r="D3" s="189"/>
      <c r="E3" s="16" t="s">
        <v>95</v>
      </c>
      <c r="F3" s="16" t="s">
        <v>96</v>
      </c>
      <c r="G3" s="16" t="s">
        <v>95</v>
      </c>
      <c r="H3" s="16" t="s">
        <v>96</v>
      </c>
      <c r="I3" s="90" t="s">
        <v>192</v>
      </c>
      <c r="J3" s="90" t="s">
        <v>193</v>
      </c>
      <c r="M3" s="16" t="s">
        <v>95</v>
      </c>
      <c r="N3" s="16" t="s">
        <v>96</v>
      </c>
      <c r="O3" s="16" t="s">
        <v>95</v>
      </c>
      <c r="P3" s="16" t="s">
        <v>96</v>
      </c>
    </row>
    <row r="4" spans="1:16" ht="15.6" x14ac:dyDescent="0.35">
      <c r="A4" s="2" t="s">
        <v>81</v>
      </c>
      <c r="B4" s="2">
        <v>-10</v>
      </c>
      <c r="C4" s="2" t="s">
        <v>87</v>
      </c>
      <c r="D4" s="2">
        <v>1</v>
      </c>
      <c r="E4" s="2">
        <v>0</v>
      </c>
      <c r="F4" s="2">
        <v>-3</v>
      </c>
      <c r="G4" s="2">
        <v>30</v>
      </c>
      <c r="H4" s="2">
        <v>35</v>
      </c>
      <c r="I4" s="85">
        <v>13.087</v>
      </c>
      <c r="J4">
        <v>4.4249999999999998</v>
      </c>
      <c r="L4" s="2" t="s">
        <v>77</v>
      </c>
      <c r="M4" s="2">
        <v>0</v>
      </c>
      <c r="N4" s="2">
        <v>-3</v>
      </c>
      <c r="O4" s="2">
        <v>0</v>
      </c>
      <c r="P4" s="2">
        <v>-3</v>
      </c>
    </row>
    <row r="5" spans="1:16" ht="15.6" x14ac:dyDescent="0.35">
      <c r="A5" s="2" t="s">
        <v>77</v>
      </c>
      <c r="B5" s="2">
        <v>-7</v>
      </c>
      <c r="C5" s="2" t="s">
        <v>83</v>
      </c>
      <c r="D5" s="35">
        <f>(-7-16)/(-10-16)</f>
        <v>0.88461538461538458</v>
      </c>
      <c r="E5" s="2">
        <v>0</v>
      </c>
      <c r="F5" s="2">
        <v>-3</v>
      </c>
      <c r="G5" s="2">
        <v>29</v>
      </c>
      <c r="H5" s="2">
        <v>34</v>
      </c>
      <c r="I5" s="85">
        <v>13.127000000000001</v>
      </c>
      <c r="J5" s="85">
        <v>4.5359999999999996</v>
      </c>
      <c r="L5" s="2" t="s">
        <v>78</v>
      </c>
      <c r="M5" s="2">
        <v>0</v>
      </c>
      <c r="N5" s="2">
        <v>-3.2</v>
      </c>
      <c r="O5" s="2">
        <v>0</v>
      </c>
      <c r="P5" s="2">
        <v>-3.1</v>
      </c>
    </row>
    <row r="6" spans="1:16" ht="15.6" x14ac:dyDescent="0.35">
      <c r="A6" s="2" t="s">
        <v>78</v>
      </c>
      <c r="B6" s="2">
        <v>2</v>
      </c>
      <c r="C6" s="2" t="s">
        <v>84</v>
      </c>
      <c r="D6" s="35">
        <f>(2-16)/(-10-16)</f>
        <v>0.53846153846153844</v>
      </c>
      <c r="E6" s="2">
        <v>0</v>
      </c>
      <c r="F6" s="2">
        <v>-3.2</v>
      </c>
      <c r="G6" s="2">
        <v>25</v>
      </c>
      <c r="H6" s="2">
        <v>30</v>
      </c>
      <c r="I6" s="85">
        <v>13.287000000000001</v>
      </c>
      <c r="J6" s="85">
        <v>5.01</v>
      </c>
      <c r="L6" s="2" t="s">
        <v>79</v>
      </c>
      <c r="M6" s="2">
        <v>0</v>
      </c>
      <c r="N6" s="2">
        <v>-3.2</v>
      </c>
      <c r="O6" s="2">
        <v>0</v>
      </c>
      <c r="P6" s="2">
        <v>-3.2</v>
      </c>
    </row>
    <row r="7" spans="1:16" ht="15.6" x14ac:dyDescent="0.35">
      <c r="A7" s="2" t="s">
        <v>79</v>
      </c>
      <c r="B7" s="2">
        <v>7</v>
      </c>
      <c r="C7" s="2" t="s">
        <v>85</v>
      </c>
      <c r="D7" s="35">
        <f>(7-16)/(-10-16)</f>
        <v>0.34615384615384615</v>
      </c>
      <c r="E7" s="2">
        <v>0</v>
      </c>
      <c r="F7" s="2">
        <v>-3.2</v>
      </c>
      <c r="G7" s="2">
        <v>22</v>
      </c>
      <c r="H7" s="2">
        <v>27</v>
      </c>
      <c r="I7" s="86">
        <v>13.414</v>
      </c>
      <c r="J7">
        <v>5.4029999999999996</v>
      </c>
      <c r="L7" s="2" t="s">
        <v>80</v>
      </c>
      <c r="M7" s="2">
        <v>0</v>
      </c>
      <c r="N7" s="2">
        <v>-3.3</v>
      </c>
      <c r="O7" s="2">
        <v>0</v>
      </c>
      <c r="P7" s="2">
        <v>-3.3</v>
      </c>
    </row>
    <row r="8" spans="1:16" ht="15.6" x14ac:dyDescent="0.35">
      <c r="A8" s="2" t="s">
        <v>80</v>
      </c>
      <c r="B8" s="2">
        <v>12</v>
      </c>
      <c r="C8" s="2" t="s">
        <v>86</v>
      </c>
      <c r="D8" s="35">
        <f>(12-16)/(-10-16)</f>
        <v>0.15384615384615385</v>
      </c>
      <c r="E8" s="2">
        <v>0</v>
      </c>
      <c r="F8" s="2">
        <v>-3.3</v>
      </c>
      <c r="G8" s="2">
        <v>19</v>
      </c>
      <c r="H8" s="2">
        <v>24</v>
      </c>
      <c r="I8" s="86">
        <v>13.542999999999999</v>
      </c>
      <c r="J8" s="86">
        <v>5.8209999999999997</v>
      </c>
      <c r="L8" s="2" t="s">
        <v>81</v>
      </c>
      <c r="M8" s="2">
        <v>0</v>
      </c>
      <c r="N8" s="2">
        <v>-3</v>
      </c>
      <c r="O8" s="2">
        <v>0</v>
      </c>
      <c r="P8" s="2">
        <v>-3</v>
      </c>
    </row>
    <row r="9" spans="1:16" ht="15.6" x14ac:dyDescent="0.35">
      <c r="A9" s="2" t="s">
        <v>82</v>
      </c>
      <c r="B9" s="2" t="s">
        <v>92</v>
      </c>
      <c r="C9" s="2" t="s">
        <v>88</v>
      </c>
      <c r="D9" s="2"/>
      <c r="E9" s="2">
        <v>0</v>
      </c>
      <c r="F9" s="2"/>
      <c r="G9" s="2"/>
      <c r="H9" s="2"/>
      <c r="L9" s="2" t="s">
        <v>237</v>
      </c>
      <c r="M9" s="2"/>
      <c r="N9" s="2"/>
      <c r="O9" s="2"/>
      <c r="P9" s="2"/>
    </row>
    <row r="11" spans="1:16" x14ac:dyDescent="0.3">
      <c r="B11" t="s">
        <v>187</v>
      </c>
    </row>
    <row r="12" spans="1:16" ht="14.4" customHeight="1" x14ac:dyDescent="0.3">
      <c r="B12" s="16" t="s">
        <v>66</v>
      </c>
      <c r="C12" s="223" t="s">
        <v>90</v>
      </c>
      <c r="D12" s="189" t="s">
        <v>91</v>
      </c>
      <c r="E12" s="222" t="s">
        <v>93</v>
      </c>
      <c r="F12" s="222"/>
      <c r="G12" s="222" t="s">
        <v>94</v>
      </c>
      <c r="H12" s="222"/>
    </row>
    <row r="13" spans="1:16" ht="15.6" x14ac:dyDescent="0.35">
      <c r="B13" s="16" t="s">
        <v>89</v>
      </c>
      <c r="C13" s="224"/>
      <c r="D13" s="189"/>
      <c r="E13" s="16" t="s">
        <v>95</v>
      </c>
      <c r="F13" s="16" t="s">
        <v>96</v>
      </c>
      <c r="G13" s="16" t="s">
        <v>95</v>
      </c>
      <c r="H13" s="16" t="s">
        <v>96</v>
      </c>
    </row>
    <row r="14" spans="1:16" ht="15.6" x14ac:dyDescent="0.35">
      <c r="A14" s="2" t="s">
        <v>81</v>
      </c>
      <c r="B14" s="2">
        <v>-10</v>
      </c>
      <c r="C14" s="2" t="s">
        <v>87</v>
      </c>
      <c r="D14" s="2">
        <v>1</v>
      </c>
      <c r="E14" s="2">
        <v>0</v>
      </c>
      <c r="F14" s="2">
        <v>-3</v>
      </c>
      <c r="G14" s="2">
        <v>30</v>
      </c>
      <c r="H14" s="2">
        <v>35</v>
      </c>
      <c r="I14" s="85">
        <v>24.863</v>
      </c>
      <c r="J14" s="85">
        <v>4.0179999999999998</v>
      </c>
    </row>
    <row r="15" spans="1:16" ht="15.6" x14ac:dyDescent="0.35">
      <c r="A15" s="2" t="s">
        <v>77</v>
      </c>
      <c r="B15" s="2">
        <v>-7</v>
      </c>
      <c r="C15" s="2" t="s">
        <v>83</v>
      </c>
      <c r="D15" s="35">
        <f>(-7-16)/(-10-16)</f>
        <v>0.88461538461538458</v>
      </c>
      <c r="E15" s="2">
        <v>0</v>
      </c>
      <c r="F15" s="2">
        <v>-3</v>
      </c>
      <c r="G15" s="2">
        <v>29</v>
      </c>
      <c r="H15" s="2">
        <v>34</v>
      </c>
      <c r="I15" s="85">
        <v>24.917999999999999</v>
      </c>
      <c r="J15" s="85">
        <v>4.1189999999999998</v>
      </c>
    </row>
    <row r="16" spans="1:16" ht="15.6" x14ac:dyDescent="0.35">
      <c r="A16" s="2" t="s">
        <v>78</v>
      </c>
      <c r="B16" s="2">
        <v>2</v>
      </c>
      <c r="C16" s="2" t="s">
        <v>84</v>
      </c>
      <c r="D16" s="35">
        <f>(2-16)/(-10-16)</f>
        <v>0.53846153846153844</v>
      </c>
      <c r="E16" s="2">
        <v>0</v>
      </c>
      <c r="F16" s="2">
        <v>-3.1</v>
      </c>
      <c r="G16" s="2">
        <v>25</v>
      </c>
      <c r="H16" s="2">
        <v>30</v>
      </c>
      <c r="I16" s="85">
        <v>25.114000000000001</v>
      </c>
      <c r="J16" s="85">
        <v>4.5469999999999997</v>
      </c>
    </row>
    <row r="17" spans="1:10" ht="15.6" x14ac:dyDescent="0.35">
      <c r="A17" s="2" t="s">
        <v>79</v>
      </c>
      <c r="B17" s="2">
        <v>7</v>
      </c>
      <c r="C17" s="2" t="s">
        <v>85</v>
      </c>
      <c r="D17" s="35">
        <f>(7-16)/(-10-16)</f>
        <v>0.34615384615384615</v>
      </c>
      <c r="E17" s="2">
        <v>0</v>
      </c>
      <c r="F17" s="2">
        <v>-3.2</v>
      </c>
      <c r="G17" s="2">
        <v>22</v>
      </c>
      <c r="H17" s="2">
        <v>27</v>
      </c>
      <c r="I17" s="86">
        <v>25.326000000000001</v>
      </c>
      <c r="J17" s="86">
        <v>4.8970000000000002</v>
      </c>
    </row>
    <row r="18" spans="1:10" ht="15.6" x14ac:dyDescent="0.35">
      <c r="A18" s="2" t="s">
        <v>80</v>
      </c>
      <c r="B18" s="2">
        <v>12</v>
      </c>
      <c r="C18" s="2" t="s">
        <v>86</v>
      </c>
      <c r="D18" s="35">
        <f>(12-16)/(-10-16)</f>
        <v>0.15384615384615385</v>
      </c>
      <c r="E18" s="2">
        <v>0</v>
      </c>
      <c r="F18" s="2">
        <v>-3.3</v>
      </c>
      <c r="G18" s="2">
        <v>19</v>
      </c>
      <c r="H18" s="2">
        <v>24</v>
      </c>
      <c r="I18" s="86">
        <v>25.515999999999998</v>
      </c>
      <c r="J18" s="86">
        <v>5.2709999999999999</v>
      </c>
    </row>
    <row r="19" spans="1:10" ht="15.6" x14ac:dyDescent="0.35">
      <c r="A19" s="2" t="s">
        <v>82</v>
      </c>
      <c r="B19" s="2" t="s">
        <v>92</v>
      </c>
      <c r="C19" s="2" t="s">
        <v>88</v>
      </c>
      <c r="D19" s="2"/>
      <c r="E19" s="2">
        <v>0</v>
      </c>
      <c r="F19" s="2"/>
      <c r="G19" s="2"/>
      <c r="H19" s="2"/>
    </row>
  </sheetData>
  <mergeCells count="12">
    <mergeCell ref="C12:C13"/>
    <mergeCell ref="D12:D13"/>
    <mergeCell ref="E12:F12"/>
    <mergeCell ref="G12:H12"/>
    <mergeCell ref="M1:N1"/>
    <mergeCell ref="O1:P1"/>
    <mergeCell ref="M2:N2"/>
    <mergeCell ref="O2:P2"/>
    <mergeCell ref="C2:C3"/>
    <mergeCell ref="D2:D3"/>
    <mergeCell ref="E2:F2"/>
    <mergeCell ref="G2:H2"/>
  </mergeCells>
  <pageMargins left="0.7" right="0.7" top="0.78740157499999996" bottom="0.78740157499999996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8"/>
  <dimension ref="A1:E43"/>
  <sheetViews>
    <sheetView workbookViewId="0">
      <selection activeCell="H19" sqref="H19"/>
    </sheetView>
  </sheetViews>
  <sheetFormatPr defaultRowHeight="14.4" x14ac:dyDescent="0.3"/>
  <cols>
    <col min="2" max="2" width="9.44140625" bestFit="1" customWidth="1"/>
    <col min="5" max="5" width="9.109375" customWidth="1"/>
  </cols>
  <sheetData>
    <row r="1" spans="1:5" s="14" customFormat="1" ht="15" thickBot="1" x14ac:dyDescent="0.35">
      <c r="A1" s="28" t="s">
        <v>41</v>
      </c>
      <c r="B1" s="28" t="s">
        <v>66</v>
      </c>
      <c r="C1" s="28" t="s">
        <v>63</v>
      </c>
      <c r="D1" s="28" t="s">
        <v>64</v>
      </c>
      <c r="E1" s="28" t="s">
        <v>65</v>
      </c>
    </row>
    <row r="2" spans="1:5" x14ac:dyDescent="0.3">
      <c r="A2" s="27" t="s">
        <v>42</v>
      </c>
      <c r="B2" s="27" t="s">
        <v>49</v>
      </c>
      <c r="C2" s="27" t="s">
        <v>62</v>
      </c>
      <c r="D2" s="27" t="s">
        <v>61</v>
      </c>
      <c r="E2" s="27" t="s">
        <v>60</v>
      </c>
    </row>
    <row r="3" spans="1:5" ht="15" thickBot="1" x14ac:dyDescent="0.35">
      <c r="A3" s="17" t="s">
        <v>43</v>
      </c>
      <c r="B3" s="17" t="s">
        <v>16</v>
      </c>
      <c r="C3" s="17" t="s">
        <v>50</v>
      </c>
      <c r="D3" s="17" t="s">
        <v>50</v>
      </c>
      <c r="E3" s="17" t="s">
        <v>50</v>
      </c>
    </row>
    <row r="4" spans="1:5" x14ac:dyDescent="0.3">
      <c r="A4" s="20" t="s">
        <v>67</v>
      </c>
      <c r="B4" s="18" t="s">
        <v>68</v>
      </c>
      <c r="C4" s="29">
        <v>0</v>
      </c>
      <c r="D4" s="29">
        <v>0</v>
      </c>
      <c r="E4" s="21">
        <v>0</v>
      </c>
    </row>
    <row r="5" spans="1:5" x14ac:dyDescent="0.3">
      <c r="A5" s="22">
        <v>9</v>
      </c>
      <c r="B5" s="2">
        <v>-22</v>
      </c>
      <c r="C5" s="31">
        <v>0</v>
      </c>
      <c r="D5" s="31">
        <v>0</v>
      </c>
      <c r="E5" s="23">
        <v>1</v>
      </c>
    </row>
    <row r="6" spans="1:5" x14ac:dyDescent="0.3">
      <c r="A6" s="22">
        <v>10</v>
      </c>
      <c r="B6" s="2">
        <v>-21</v>
      </c>
      <c r="C6" s="31">
        <v>0</v>
      </c>
      <c r="D6" s="31">
        <v>0</v>
      </c>
      <c r="E6" s="23">
        <v>6</v>
      </c>
    </row>
    <row r="7" spans="1:5" x14ac:dyDescent="0.3">
      <c r="A7" s="22">
        <v>11</v>
      </c>
      <c r="B7" s="2">
        <v>-20</v>
      </c>
      <c r="C7" s="31">
        <v>0</v>
      </c>
      <c r="D7" s="31">
        <v>0</v>
      </c>
      <c r="E7" s="23">
        <v>13</v>
      </c>
    </row>
    <row r="8" spans="1:5" x14ac:dyDescent="0.3">
      <c r="A8" s="22">
        <v>12</v>
      </c>
      <c r="B8" s="2">
        <v>-19</v>
      </c>
      <c r="C8" s="31">
        <v>0</v>
      </c>
      <c r="D8" s="31">
        <v>0</v>
      </c>
      <c r="E8" s="23">
        <v>17</v>
      </c>
    </row>
    <row r="9" spans="1:5" x14ac:dyDescent="0.3">
      <c r="A9" s="22">
        <v>13</v>
      </c>
      <c r="B9" s="2">
        <v>-18</v>
      </c>
      <c r="C9" s="31">
        <v>0</v>
      </c>
      <c r="D9" s="31">
        <v>0</v>
      </c>
      <c r="E9" s="23">
        <v>19</v>
      </c>
    </row>
    <row r="10" spans="1:5" x14ac:dyDescent="0.3">
      <c r="A10" s="22">
        <v>14</v>
      </c>
      <c r="B10" s="2">
        <v>-17</v>
      </c>
      <c r="C10" s="31">
        <v>0</v>
      </c>
      <c r="D10" s="31">
        <v>0</v>
      </c>
      <c r="E10" s="23">
        <v>26</v>
      </c>
    </row>
    <row r="11" spans="1:5" x14ac:dyDescent="0.3">
      <c r="A11" s="22">
        <v>15</v>
      </c>
      <c r="B11" s="2">
        <v>-16</v>
      </c>
      <c r="C11" s="31">
        <v>0</v>
      </c>
      <c r="D11" s="31">
        <v>0</v>
      </c>
      <c r="E11" s="23">
        <v>39</v>
      </c>
    </row>
    <row r="12" spans="1:5" x14ac:dyDescent="0.3">
      <c r="A12" s="22">
        <v>16</v>
      </c>
      <c r="B12" s="2">
        <v>-15</v>
      </c>
      <c r="C12" s="31">
        <v>0</v>
      </c>
      <c r="D12" s="31">
        <v>0</v>
      </c>
      <c r="E12" s="23">
        <v>41</v>
      </c>
    </row>
    <row r="13" spans="1:5" x14ac:dyDescent="0.3">
      <c r="A13" s="22">
        <v>17</v>
      </c>
      <c r="B13" s="2">
        <v>-14</v>
      </c>
      <c r="C13" s="31">
        <v>0</v>
      </c>
      <c r="D13" s="31">
        <v>0</v>
      </c>
      <c r="E13" s="23">
        <v>35</v>
      </c>
    </row>
    <row r="14" spans="1:5" x14ac:dyDescent="0.3">
      <c r="A14" s="22">
        <v>18</v>
      </c>
      <c r="B14" s="2">
        <v>-13</v>
      </c>
      <c r="C14" s="31">
        <v>0</v>
      </c>
      <c r="D14" s="31">
        <v>0</v>
      </c>
      <c r="E14" s="23">
        <v>52</v>
      </c>
    </row>
    <row r="15" spans="1:5" x14ac:dyDescent="0.3">
      <c r="A15" s="22">
        <v>19</v>
      </c>
      <c r="B15" s="2">
        <v>-12</v>
      </c>
      <c r="C15" s="31">
        <v>0</v>
      </c>
      <c r="D15" s="31">
        <v>0</v>
      </c>
      <c r="E15" s="23">
        <v>37</v>
      </c>
    </row>
    <row r="16" spans="1:5" x14ac:dyDescent="0.3">
      <c r="A16" s="22">
        <v>20</v>
      </c>
      <c r="B16" s="2">
        <v>-11</v>
      </c>
      <c r="C16" s="31">
        <v>0</v>
      </c>
      <c r="D16" s="31">
        <v>0</v>
      </c>
      <c r="E16" s="23">
        <v>41</v>
      </c>
    </row>
    <row r="17" spans="1:5" x14ac:dyDescent="0.3">
      <c r="A17" s="22">
        <v>21</v>
      </c>
      <c r="B17" s="2">
        <v>-10</v>
      </c>
      <c r="C17" s="31">
        <v>0</v>
      </c>
      <c r="D17" s="2">
        <v>1</v>
      </c>
      <c r="E17" s="23">
        <v>43</v>
      </c>
    </row>
    <row r="18" spans="1:5" x14ac:dyDescent="0.3">
      <c r="A18" s="22">
        <v>22</v>
      </c>
      <c r="B18" s="2">
        <v>-9</v>
      </c>
      <c r="C18" s="31">
        <v>0</v>
      </c>
      <c r="D18" s="2">
        <v>25</v>
      </c>
      <c r="E18" s="23">
        <v>54</v>
      </c>
    </row>
    <row r="19" spans="1:5" x14ac:dyDescent="0.3">
      <c r="A19" s="22">
        <v>23</v>
      </c>
      <c r="B19" s="2">
        <v>-8</v>
      </c>
      <c r="C19" s="31">
        <v>0</v>
      </c>
      <c r="D19" s="2">
        <v>23</v>
      </c>
      <c r="E19" s="23">
        <v>90</v>
      </c>
    </row>
    <row r="20" spans="1:5" x14ac:dyDescent="0.3">
      <c r="A20" s="22">
        <v>24</v>
      </c>
      <c r="B20" s="2">
        <v>-7</v>
      </c>
      <c r="C20" s="31">
        <v>0</v>
      </c>
      <c r="D20" s="2">
        <v>24</v>
      </c>
      <c r="E20" s="23">
        <v>125</v>
      </c>
    </row>
    <row r="21" spans="1:5" x14ac:dyDescent="0.3">
      <c r="A21" s="22">
        <v>25</v>
      </c>
      <c r="B21" s="2">
        <v>-6</v>
      </c>
      <c r="C21" s="31">
        <v>0</v>
      </c>
      <c r="D21" s="2">
        <v>27</v>
      </c>
      <c r="E21" s="23">
        <v>169</v>
      </c>
    </row>
    <row r="22" spans="1:5" x14ac:dyDescent="0.3">
      <c r="A22" s="22">
        <v>26</v>
      </c>
      <c r="B22" s="2">
        <v>-5</v>
      </c>
      <c r="C22" s="31">
        <v>0</v>
      </c>
      <c r="D22" s="2">
        <v>68</v>
      </c>
      <c r="E22" s="23">
        <v>195</v>
      </c>
    </row>
    <row r="23" spans="1:5" x14ac:dyDescent="0.3">
      <c r="A23" s="22">
        <v>27</v>
      </c>
      <c r="B23" s="2">
        <v>-4</v>
      </c>
      <c r="C23" s="31">
        <v>0</v>
      </c>
      <c r="D23" s="2">
        <v>91</v>
      </c>
      <c r="E23" s="23">
        <v>278</v>
      </c>
    </row>
    <row r="24" spans="1:5" x14ac:dyDescent="0.3">
      <c r="A24" s="22">
        <v>28</v>
      </c>
      <c r="B24" s="2">
        <v>-3</v>
      </c>
      <c r="C24" s="31">
        <v>0</v>
      </c>
      <c r="D24" s="2">
        <v>89</v>
      </c>
      <c r="E24" s="23">
        <v>306</v>
      </c>
    </row>
    <row r="25" spans="1:5" x14ac:dyDescent="0.3">
      <c r="A25" s="22">
        <v>29</v>
      </c>
      <c r="B25" s="2">
        <v>-2</v>
      </c>
      <c r="C25" s="31">
        <v>0</v>
      </c>
      <c r="D25" s="2">
        <v>165</v>
      </c>
      <c r="E25" s="23">
        <v>454</v>
      </c>
    </row>
    <row r="26" spans="1:5" x14ac:dyDescent="0.3">
      <c r="A26" s="22">
        <v>30</v>
      </c>
      <c r="B26" s="2">
        <v>-1</v>
      </c>
      <c r="C26" s="31">
        <v>0</v>
      </c>
      <c r="D26" s="2">
        <v>173</v>
      </c>
      <c r="E26" s="23">
        <v>385</v>
      </c>
    </row>
    <row r="27" spans="1:5" x14ac:dyDescent="0.3">
      <c r="A27" s="22">
        <v>31</v>
      </c>
      <c r="B27" s="2">
        <v>0</v>
      </c>
      <c r="C27" s="31">
        <v>0</v>
      </c>
      <c r="D27" s="2">
        <v>240</v>
      </c>
      <c r="E27" s="23">
        <v>490</v>
      </c>
    </row>
    <row r="28" spans="1:5" x14ac:dyDescent="0.3">
      <c r="A28" s="22">
        <v>32</v>
      </c>
      <c r="B28" s="2">
        <v>1</v>
      </c>
      <c r="C28" s="30">
        <v>0</v>
      </c>
      <c r="D28" s="6">
        <v>280</v>
      </c>
      <c r="E28" s="23">
        <v>533</v>
      </c>
    </row>
    <row r="29" spans="1:5" x14ac:dyDescent="0.3">
      <c r="A29" s="22">
        <v>33</v>
      </c>
      <c r="B29" s="2">
        <v>2</v>
      </c>
      <c r="C29" s="2">
        <v>3</v>
      </c>
      <c r="D29" s="2">
        <v>320</v>
      </c>
      <c r="E29" s="23">
        <v>380</v>
      </c>
    </row>
    <row r="30" spans="1:5" x14ac:dyDescent="0.3">
      <c r="A30" s="22">
        <v>34</v>
      </c>
      <c r="B30" s="2">
        <v>3</v>
      </c>
      <c r="C30" s="2">
        <v>22</v>
      </c>
      <c r="D30" s="2">
        <v>357</v>
      </c>
      <c r="E30" s="23">
        <v>228</v>
      </c>
    </row>
    <row r="31" spans="1:5" x14ac:dyDescent="0.3">
      <c r="A31" s="22">
        <v>35</v>
      </c>
      <c r="B31" s="2">
        <v>4</v>
      </c>
      <c r="C31" s="2">
        <v>63</v>
      </c>
      <c r="D31" s="2">
        <v>356</v>
      </c>
      <c r="E31" s="23">
        <v>261</v>
      </c>
    </row>
    <row r="32" spans="1:5" x14ac:dyDescent="0.3">
      <c r="A32" s="22">
        <v>36</v>
      </c>
      <c r="B32" s="2">
        <v>5</v>
      </c>
      <c r="C32" s="2">
        <v>63</v>
      </c>
      <c r="D32" s="2">
        <v>303</v>
      </c>
      <c r="E32" s="23">
        <v>279</v>
      </c>
    </row>
    <row r="33" spans="1:5" x14ac:dyDescent="0.3">
      <c r="A33" s="22">
        <v>37</v>
      </c>
      <c r="B33" s="2">
        <v>6</v>
      </c>
      <c r="C33" s="2">
        <v>175</v>
      </c>
      <c r="D33" s="2">
        <v>330</v>
      </c>
      <c r="E33" s="23">
        <v>229</v>
      </c>
    </row>
    <row r="34" spans="1:5" x14ac:dyDescent="0.3">
      <c r="A34" s="22">
        <v>38</v>
      </c>
      <c r="B34" s="2">
        <v>7</v>
      </c>
      <c r="C34" s="2">
        <v>162</v>
      </c>
      <c r="D34" s="2">
        <v>326</v>
      </c>
      <c r="E34" s="23">
        <v>269</v>
      </c>
    </row>
    <row r="35" spans="1:5" x14ac:dyDescent="0.3">
      <c r="A35" s="22">
        <v>39</v>
      </c>
      <c r="B35" s="2">
        <v>8</v>
      </c>
      <c r="C35" s="2">
        <v>259</v>
      </c>
      <c r="D35" s="2">
        <v>348</v>
      </c>
      <c r="E35" s="23">
        <v>233</v>
      </c>
    </row>
    <row r="36" spans="1:5" x14ac:dyDescent="0.3">
      <c r="A36" s="22">
        <v>40</v>
      </c>
      <c r="B36" s="2">
        <v>9</v>
      </c>
      <c r="C36" s="2">
        <v>360</v>
      </c>
      <c r="D36" s="2">
        <v>335</v>
      </c>
      <c r="E36" s="23">
        <v>230</v>
      </c>
    </row>
    <row r="37" spans="1:5" x14ac:dyDescent="0.3">
      <c r="A37" s="22">
        <v>41</v>
      </c>
      <c r="B37" s="2">
        <v>10</v>
      </c>
      <c r="C37" s="2">
        <v>428</v>
      </c>
      <c r="D37" s="2">
        <v>315</v>
      </c>
      <c r="E37" s="23">
        <v>243</v>
      </c>
    </row>
    <row r="38" spans="1:5" x14ac:dyDescent="0.3">
      <c r="A38" s="22">
        <v>42</v>
      </c>
      <c r="B38" s="2">
        <v>11</v>
      </c>
      <c r="C38" s="2">
        <v>430</v>
      </c>
      <c r="D38" s="2">
        <v>215</v>
      </c>
      <c r="E38" s="23">
        <v>191</v>
      </c>
    </row>
    <row r="39" spans="1:5" x14ac:dyDescent="0.3">
      <c r="A39" s="22">
        <v>43</v>
      </c>
      <c r="B39" s="2">
        <v>12</v>
      </c>
      <c r="C39" s="2">
        <v>503</v>
      </c>
      <c r="D39" s="2">
        <v>169</v>
      </c>
      <c r="E39" s="23">
        <v>146</v>
      </c>
    </row>
    <row r="40" spans="1:5" x14ac:dyDescent="0.3">
      <c r="A40" s="22">
        <v>44</v>
      </c>
      <c r="B40" s="2">
        <v>13</v>
      </c>
      <c r="C40" s="2">
        <v>444</v>
      </c>
      <c r="D40" s="2">
        <v>151</v>
      </c>
      <c r="E40" s="23">
        <v>150</v>
      </c>
    </row>
    <row r="41" spans="1:5" x14ac:dyDescent="0.3">
      <c r="A41" s="22">
        <v>45</v>
      </c>
      <c r="B41" s="2">
        <v>14</v>
      </c>
      <c r="C41" s="2">
        <v>384</v>
      </c>
      <c r="D41" s="2">
        <v>105</v>
      </c>
      <c r="E41" s="23">
        <v>97</v>
      </c>
    </row>
    <row r="42" spans="1:5" ht="15" thickBot="1" x14ac:dyDescent="0.35">
      <c r="A42" s="24">
        <v>46</v>
      </c>
      <c r="B42" s="25">
        <v>15</v>
      </c>
      <c r="C42" s="25">
        <v>294</v>
      </c>
      <c r="D42" s="25">
        <v>74</v>
      </c>
      <c r="E42" s="26">
        <v>61</v>
      </c>
    </row>
    <row r="43" spans="1:5" x14ac:dyDescent="0.3">
      <c r="A43" s="225" t="s">
        <v>69</v>
      </c>
      <c r="B43" s="225"/>
      <c r="C43" s="19">
        <f>SUM(C4:C42)</f>
        <v>3590</v>
      </c>
      <c r="D43" s="19">
        <f>SUM(D4:D42)</f>
        <v>4910</v>
      </c>
      <c r="E43" s="19">
        <f>SUM(E4:E42)</f>
        <v>6446</v>
      </c>
    </row>
  </sheetData>
  <mergeCells count="1">
    <mergeCell ref="A43:B43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"/>
  <dimension ref="A1:F8"/>
  <sheetViews>
    <sheetView workbookViewId="0">
      <selection sqref="A1:F8"/>
    </sheetView>
  </sheetViews>
  <sheetFormatPr defaultRowHeight="14.4" x14ac:dyDescent="0.3"/>
  <cols>
    <col min="1" max="1" width="18.21875" bestFit="1" customWidth="1"/>
    <col min="2" max="2" width="11.5546875" bestFit="1" customWidth="1"/>
    <col min="3" max="3" width="7.5546875" customWidth="1"/>
    <col min="4" max="4" width="8.44140625" customWidth="1"/>
    <col min="5" max="5" width="6.21875" bestFit="1" customWidth="1"/>
    <col min="6" max="6" width="7" bestFit="1" customWidth="1"/>
  </cols>
  <sheetData>
    <row r="1" spans="1:6" ht="29.4" customHeight="1" x14ac:dyDescent="0.3">
      <c r="C1" s="189" t="s">
        <v>100</v>
      </c>
      <c r="D1" s="189"/>
      <c r="E1" s="189" t="s">
        <v>99</v>
      </c>
      <c r="F1" s="189"/>
    </row>
    <row r="2" spans="1:6" ht="15.6" x14ac:dyDescent="0.35">
      <c r="C2" s="16" t="s">
        <v>95</v>
      </c>
      <c r="D2" s="16" t="s">
        <v>96</v>
      </c>
      <c r="E2" s="16" t="s">
        <v>95</v>
      </c>
      <c r="F2" s="16" t="s">
        <v>96</v>
      </c>
    </row>
    <row r="3" spans="1:6" x14ac:dyDescent="0.3">
      <c r="A3" s="227" t="s">
        <v>97</v>
      </c>
      <c r="B3" s="2"/>
      <c r="C3" s="2">
        <v>0</v>
      </c>
      <c r="D3" s="2">
        <v>-3</v>
      </c>
      <c r="E3" s="2">
        <v>40</v>
      </c>
      <c r="F3" s="2">
        <v>45</v>
      </c>
    </row>
    <row r="4" spans="1:6" x14ac:dyDescent="0.3">
      <c r="A4" s="227"/>
      <c r="B4" s="2" t="s">
        <v>101</v>
      </c>
      <c r="C4" s="2">
        <v>0</v>
      </c>
      <c r="D4" s="2">
        <v>-3</v>
      </c>
      <c r="E4" s="2">
        <v>30</v>
      </c>
      <c r="F4" s="2">
        <v>35</v>
      </c>
    </row>
    <row r="5" spans="1:6" x14ac:dyDescent="0.3">
      <c r="A5" s="227" t="s">
        <v>98</v>
      </c>
      <c r="B5" s="2" t="s">
        <v>101</v>
      </c>
      <c r="C5" s="2">
        <v>5</v>
      </c>
      <c r="D5" s="15" t="s">
        <v>102</v>
      </c>
      <c r="E5" s="15" t="s">
        <v>102</v>
      </c>
      <c r="F5" s="2">
        <v>35</v>
      </c>
    </row>
    <row r="6" spans="1:6" x14ac:dyDescent="0.3">
      <c r="A6" s="227"/>
      <c r="B6" s="226"/>
      <c r="C6" s="2">
        <v>5</v>
      </c>
      <c r="D6" s="15" t="s">
        <v>102</v>
      </c>
      <c r="E6" s="15" t="s">
        <v>102</v>
      </c>
      <c r="F6" s="2">
        <v>45</v>
      </c>
    </row>
    <row r="7" spans="1:6" x14ac:dyDescent="0.3">
      <c r="A7" s="227"/>
      <c r="B7" s="226"/>
      <c r="C7" s="2">
        <v>-5</v>
      </c>
      <c r="D7" s="15" t="s">
        <v>102</v>
      </c>
      <c r="E7" s="15" t="s">
        <v>102</v>
      </c>
      <c r="F7" s="2">
        <v>45</v>
      </c>
    </row>
    <row r="8" spans="1:6" x14ac:dyDescent="0.3">
      <c r="A8" s="227"/>
      <c r="B8" s="226"/>
      <c r="C8" s="2">
        <v>0</v>
      </c>
      <c r="D8" s="15" t="s">
        <v>102</v>
      </c>
      <c r="E8" s="15" t="s">
        <v>102</v>
      </c>
      <c r="F8" s="2">
        <v>55</v>
      </c>
    </row>
  </sheetData>
  <mergeCells count="5">
    <mergeCell ref="C1:D1"/>
    <mergeCell ref="E1:F1"/>
    <mergeCell ref="B6:B8"/>
    <mergeCell ref="A3:A4"/>
    <mergeCell ref="A5:A8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/>
  <dimension ref="A1:E11"/>
  <sheetViews>
    <sheetView workbookViewId="0">
      <selection activeCell="D14" sqref="D14"/>
    </sheetView>
  </sheetViews>
  <sheetFormatPr defaultRowHeight="14.4" x14ac:dyDescent="0.3"/>
  <cols>
    <col min="1" max="1" width="22.77734375" customWidth="1"/>
    <col min="2" max="2" width="21.77734375" customWidth="1"/>
    <col min="4" max="4" width="22.77734375" customWidth="1"/>
    <col min="5" max="5" width="21.88671875" customWidth="1"/>
  </cols>
  <sheetData>
    <row r="1" spans="1:5" ht="30.6" thickBot="1" x14ac:dyDescent="0.4">
      <c r="A1" s="36" t="s">
        <v>103</v>
      </c>
      <c r="B1" s="36" t="s">
        <v>118</v>
      </c>
      <c r="D1" s="36" t="s">
        <v>103</v>
      </c>
      <c r="E1" s="36" t="s">
        <v>118</v>
      </c>
    </row>
    <row r="2" spans="1:5" ht="16.2" thickTop="1" x14ac:dyDescent="0.35">
      <c r="A2" s="6" t="s">
        <v>104</v>
      </c>
      <c r="B2" s="6" t="s">
        <v>108</v>
      </c>
      <c r="D2" s="6" t="s">
        <v>104</v>
      </c>
      <c r="E2" s="6" t="s">
        <v>119</v>
      </c>
    </row>
    <row r="3" spans="1:5" ht="15.6" x14ac:dyDescent="0.35">
      <c r="A3" s="2" t="s">
        <v>105</v>
      </c>
      <c r="B3" s="2" t="s">
        <v>109</v>
      </c>
      <c r="D3" s="2" t="s">
        <v>105</v>
      </c>
      <c r="E3" s="2" t="s">
        <v>120</v>
      </c>
    </row>
    <row r="4" spans="1:5" ht="15.6" x14ac:dyDescent="0.35">
      <c r="A4" s="2" t="s">
        <v>106</v>
      </c>
      <c r="B4" s="2" t="s">
        <v>110</v>
      </c>
      <c r="D4" s="2" t="s">
        <v>106</v>
      </c>
      <c r="E4" s="2" t="s">
        <v>121</v>
      </c>
    </row>
    <row r="5" spans="1:5" ht="15.6" x14ac:dyDescent="0.35">
      <c r="A5" s="2" t="s">
        <v>77</v>
      </c>
      <c r="B5" s="2" t="s">
        <v>111</v>
      </c>
      <c r="D5" s="2" t="s">
        <v>77</v>
      </c>
      <c r="E5" s="2" t="s">
        <v>122</v>
      </c>
    </row>
    <row r="6" spans="1:5" ht="15.6" x14ac:dyDescent="0.35">
      <c r="A6" s="2" t="s">
        <v>78</v>
      </c>
      <c r="B6" s="2" t="s">
        <v>112</v>
      </c>
      <c r="D6" s="2" t="s">
        <v>78</v>
      </c>
      <c r="E6" s="2" t="s">
        <v>123</v>
      </c>
    </row>
    <row r="7" spans="1:5" ht="15.6" x14ac:dyDescent="0.35">
      <c r="A7" s="2" t="s">
        <v>79</v>
      </c>
      <c r="B7" s="2" t="s">
        <v>113</v>
      </c>
      <c r="D7" s="2" t="s">
        <v>79</v>
      </c>
      <c r="E7" s="2" t="s">
        <v>124</v>
      </c>
    </row>
    <row r="8" spans="1:5" ht="15.6" x14ac:dyDescent="0.35">
      <c r="A8" s="2" t="s">
        <v>80</v>
      </c>
      <c r="B8" s="2" t="s">
        <v>114</v>
      </c>
      <c r="D8" s="2" t="s">
        <v>80</v>
      </c>
      <c r="E8" s="2" t="s">
        <v>125</v>
      </c>
    </row>
    <row r="9" spans="1:5" ht="15.6" x14ac:dyDescent="0.35">
      <c r="A9" s="2" t="s">
        <v>81</v>
      </c>
      <c r="B9" s="2" t="s">
        <v>115</v>
      </c>
      <c r="D9" s="2" t="s">
        <v>81</v>
      </c>
      <c r="E9" s="2" t="s">
        <v>126</v>
      </c>
    </row>
    <row r="10" spans="1:5" ht="15.6" x14ac:dyDescent="0.35">
      <c r="A10" s="2" t="s">
        <v>82</v>
      </c>
      <c r="B10" s="2" t="s">
        <v>116</v>
      </c>
      <c r="D10" s="2" t="s">
        <v>82</v>
      </c>
      <c r="E10" s="2" t="s">
        <v>127</v>
      </c>
    </row>
    <row r="11" spans="1:5" ht="15.6" x14ac:dyDescent="0.35">
      <c r="A11" s="2" t="s">
        <v>107</v>
      </c>
      <c r="B11" s="2" t="s">
        <v>117</v>
      </c>
      <c r="D11" s="2" t="s">
        <v>107</v>
      </c>
      <c r="E11" s="2" t="s">
        <v>128</v>
      </c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1"/>
  <dimension ref="A1:C4"/>
  <sheetViews>
    <sheetView workbookViewId="0">
      <selection sqref="A1:C4"/>
    </sheetView>
  </sheetViews>
  <sheetFormatPr defaultRowHeight="14.4" x14ac:dyDescent="0.3"/>
  <cols>
    <col min="1" max="1" width="17.6640625" bestFit="1" customWidth="1"/>
  </cols>
  <sheetData>
    <row r="1" spans="1:3" ht="15" thickBot="1" x14ac:dyDescent="0.35">
      <c r="A1" s="182" t="s">
        <v>23</v>
      </c>
      <c r="B1" s="182"/>
      <c r="C1" s="182"/>
    </row>
    <row r="2" spans="1:3" ht="15" thickTop="1" x14ac:dyDescent="0.3">
      <c r="A2" s="6" t="s">
        <v>131</v>
      </c>
      <c r="B2" s="183" t="s">
        <v>132</v>
      </c>
      <c r="C2" s="183"/>
    </row>
    <row r="3" spans="1:3" ht="16.2" x14ac:dyDescent="0.3">
      <c r="A3" s="2" t="s">
        <v>133</v>
      </c>
      <c r="B3" s="2">
        <v>26</v>
      </c>
      <c r="C3" s="2" t="s">
        <v>134</v>
      </c>
    </row>
    <row r="4" spans="1:3" x14ac:dyDescent="0.3">
      <c r="A4" s="2" t="s">
        <v>20</v>
      </c>
      <c r="B4" s="2">
        <v>-5</v>
      </c>
      <c r="C4" s="2" t="s">
        <v>16</v>
      </c>
    </row>
  </sheetData>
  <mergeCells count="2">
    <mergeCell ref="A1:C1"/>
    <mergeCell ref="B2:C2"/>
  </mergeCell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11</vt:i4>
      </vt:variant>
    </vt:vector>
  </HeadingPairs>
  <TitlesOfParts>
    <vt:vector size="11" baseType="lpstr">
      <vt:lpstr>Kompresor</vt:lpstr>
      <vt:lpstr>SCOP</vt:lpstr>
      <vt:lpstr>kond+výpar</vt:lpstr>
      <vt:lpstr>varianty</vt:lpstr>
      <vt:lpstr>B0W35</vt:lpstr>
      <vt:lpstr>počty hodin</vt:lpstr>
      <vt:lpstr>částečné zatížení</vt:lpstr>
      <vt:lpstr>oblasti</vt:lpstr>
      <vt:lpstr>COP</vt:lpstr>
      <vt:lpstr>štítky</vt:lpstr>
      <vt:lpstr>Oběhová čerpadla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Veselý</dc:creator>
  <cp:lastModifiedBy>Eduard Veselý</cp:lastModifiedBy>
  <dcterms:created xsi:type="dcterms:W3CDTF">2016-04-18T06:14:26Z</dcterms:created>
  <dcterms:modified xsi:type="dcterms:W3CDTF">2016-06-08T19:54:19Z</dcterms:modified>
</cp:coreProperties>
</file>