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h\Desktop\"/>
    </mc:Choice>
  </mc:AlternateContent>
  <xr:revisionPtr revIDLastSave="0" documentId="13_ncr:1_{BF29DC12-48A0-444E-9BDC-415F2FFFBCCF}" xr6:coauthVersionLast="47" xr6:coauthVersionMax="47" xr10:uidLastSave="{00000000-0000-0000-0000-000000000000}"/>
  <bookViews>
    <workbookView xWindow="-120" yWindow="-120" windowWidth="29040" windowHeight="15840" tabRatio="789" activeTab="4" xr2:uid="{F87B5E1F-D0D2-A446-A348-CCFF8E00CE90}"/>
  </bookViews>
  <sheets>
    <sheet name="Tepelné ztráty, vaření" sheetId="10" r:id="rId1"/>
    <sheet name="Seznam spotřebičů, zatížení" sheetId="9" r:id="rId2"/>
    <sheet name="Přehled dotačních možností" sheetId="11" r:id="rId3"/>
    <sheet name="Kotel na pelety" sheetId="13" r:id="rId4"/>
    <sheet name="Tepelné čerpadlo" sheetId="17" r:id="rId5"/>
    <sheet name="Vyhodnocení" sheetId="18" r:id="rId6"/>
    <sheet name="Distribuční sazby" sheetId="20" r:id="rId7"/>
    <sheet name="Solární panely" sheetId="14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8" l="1"/>
  <c r="G9" i="18"/>
  <c r="H8" i="18"/>
  <c r="G8" i="18"/>
  <c r="F9" i="18"/>
  <c r="E9" i="18"/>
  <c r="F8" i="18"/>
  <c r="E8" i="18"/>
  <c r="F7" i="18"/>
  <c r="E7" i="18"/>
  <c r="Y63" i="17"/>
  <c r="X63" i="17"/>
  <c r="Y22" i="17"/>
  <c r="Z7" i="17"/>
  <c r="Z8" i="17"/>
  <c r="Z9" i="17"/>
  <c r="Z10" i="17"/>
  <c r="Z11" i="17"/>
  <c r="AB11" i="17" s="1"/>
  <c r="Z12" i="17"/>
  <c r="Z13" i="17"/>
  <c r="Z14" i="17"/>
  <c r="Z15" i="17"/>
  <c r="Z16" i="17"/>
  <c r="AB16" i="17" s="1"/>
  <c r="AF16" i="17" s="1"/>
  <c r="Z17" i="17"/>
  <c r="AB17" i="17" s="1"/>
  <c r="AF17" i="17" s="1"/>
  <c r="Z6" i="17"/>
  <c r="Y28" i="17"/>
  <c r="Y27" i="17"/>
  <c r="Y25" i="17"/>
  <c r="Y23" i="17"/>
  <c r="AF10" i="17"/>
  <c r="AF14" i="17"/>
  <c r="AB7" i="17"/>
  <c r="AF7" i="17" s="1"/>
  <c r="AB8" i="17"/>
  <c r="AF8" i="17" s="1"/>
  <c r="AB9" i="17"/>
  <c r="AF9" i="17" s="1"/>
  <c r="AB10" i="17"/>
  <c r="AB12" i="17"/>
  <c r="AB13" i="17"/>
  <c r="AB14" i="17"/>
  <c r="AB15" i="17"/>
  <c r="AF15" i="17" s="1"/>
  <c r="AG18" i="17"/>
  <c r="AC18" i="17"/>
  <c r="Y37" i="17"/>
  <c r="AE18" i="17"/>
  <c r="AD18" i="17"/>
  <c r="AA18" i="17"/>
  <c r="Y18" i="17"/>
  <c r="X18" i="17"/>
  <c r="AB6" i="17"/>
  <c r="AF6" i="17" s="1"/>
  <c r="N77" i="17"/>
  <c r="M77" i="17"/>
  <c r="N28" i="17"/>
  <c r="N27" i="17"/>
  <c r="N25" i="17"/>
  <c r="D26" i="17"/>
  <c r="P18" i="17"/>
  <c r="O11" i="17"/>
  <c r="Q11" i="17" s="1"/>
  <c r="O12" i="17"/>
  <c r="Q12" i="17" s="1"/>
  <c r="O13" i="17"/>
  <c r="Q13" i="17" s="1"/>
  <c r="Q14" i="17"/>
  <c r="Q15" i="17"/>
  <c r="Q16" i="17"/>
  <c r="N18" i="17"/>
  <c r="O7" i="17"/>
  <c r="Q7" i="17" s="1"/>
  <c r="O8" i="17"/>
  <c r="Q8" i="17" s="1"/>
  <c r="O9" i="17"/>
  <c r="Q9" i="17" s="1"/>
  <c r="O10" i="17"/>
  <c r="Q10" i="17" s="1"/>
  <c r="O14" i="17"/>
  <c r="O15" i="17"/>
  <c r="O16" i="17"/>
  <c r="O17" i="17"/>
  <c r="Q17" i="17" s="1"/>
  <c r="O6" i="17"/>
  <c r="Q6" i="17" s="1"/>
  <c r="H24" i="17"/>
  <c r="H25" i="17"/>
  <c r="H26" i="17"/>
  <c r="H27" i="17"/>
  <c r="H28" i="17"/>
  <c r="H29" i="17"/>
  <c r="H30" i="17"/>
  <c r="H31" i="17"/>
  <c r="H32" i="17"/>
  <c r="H33" i="17"/>
  <c r="H34" i="17"/>
  <c r="H35" i="17"/>
  <c r="H23" i="17"/>
  <c r="H12" i="17"/>
  <c r="H13" i="17"/>
  <c r="H11" i="17"/>
  <c r="G18" i="17"/>
  <c r="G16" i="17"/>
  <c r="G17" i="17"/>
  <c r="G14" i="17"/>
  <c r="N51" i="17"/>
  <c r="M18" i="17"/>
  <c r="AF85" i="13"/>
  <c r="AD59" i="13"/>
  <c r="AF59" i="13" s="1"/>
  <c r="AE85" i="13"/>
  <c r="AF45" i="13"/>
  <c r="AF44" i="13"/>
  <c r="AF43" i="13"/>
  <c r="AF47" i="13"/>
  <c r="AF46" i="13"/>
  <c r="AF40" i="13"/>
  <c r="AF34" i="13"/>
  <c r="AJ26" i="13"/>
  <c r="AI26" i="13"/>
  <c r="AH26" i="13"/>
  <c r="AE26" i="13"/>
  <c r="AL25" i="13"/>
  <c r="AK25" i="13"/>
  <c r="AG25" i="13"/>
  <c r="AL24" i="13"/>
  <c r="AK24" i="13"/>
  <c r="AG24" i="13"/>
  <c r="AG23" i="13"/>
  <c r="AF23" i="13"/>
  <c r="AF22" i="13"/>
  <c r="AG22" i="13" s="1"/>
  <c r="AK21" i="13"/>
  <c r="AG21" i="13"/>
  <c r="AF21" i="13"/>
  <c r="AG20" i="13"/>
  <c r="AF20" i="13"/>
  <c r="AK20" i="13" s="1"/>
  <c r="AG19" i="13"/>
  <c r="AF19" i="13"/>
  <c r="AK19" i="13" s="1"/>
  <c r="AF18" i="13"/>
  <c r="AG18" i="13" s="1"/>
  <c r="AF17" i="13"/>
  <c r="AF26" i="13" s="1"/>
  <c r="AG16" i="13"/>
  <c r="AF16" i="13"/>
  <c r="AK15" i="13"/>
  <c r="AG15" i="13"/>
  <c r="AL14" i="13"/>
  <c r="AL26" i="13" s="1"/>
  <c r="AF42" i="13" s="1"/>
  <c r="AK14" i="13"/>
  <c r="AG14" i="13"/>
  <c r="Y85" i="13"/>
  <c r="W59" i="13"/>
  <c r="Y43" i="13"/>
  <c r="X85" i="13"/>
  <c r="W61" i="13"/>
  <c r="W62" i="13"/>
  <c r="W63" i="13"/>
  <c r="W64" i="13"/>
  <c r="W65" i="13"/>
  <c r="W66" i="13"/>
  <c r="W67" i="13"/>
  <c r="Y67" i="13" s="1"/>
  <c r="W68" i="13"/>
  <c r="Y68" i="13" s="1"/>
  <c r="W69" i="13"/>
  <c r="Y69" i="13" s="1"/>
  <c r="W70" i="13"/>
  <c r="Y70" i="13" s="1"/>
  <c r="W71" i="13"/>
  <c r="Y71" i="13" s="1"/>
  <c r="W72" i="13"/>
  <c r="Y72" i="13" s="1"/>
  <c r="W73" i="13"/>
  <c r="W74" i="13"/>
  <c r="W75" i="13"/>
  <c r="W76" i="13"/>
  <c r="W77" i="13"/>
  <c r="W78" i="13"/>
  <c r="W79" i="13"/>
  <c r="Y79" i="13" s="1"/>
  <c r="W60" i="13"/>
  <c r="Y49" i="13"/>
  <c r="Y48" i="13"/>
  <c r="Y47" i="13"/>
  <c r="Y46" i="13"/>
  <c r="Y45" i="13"/>
  <c r="Z23" i="13"/>
  <c r="Z22" i="13"/>
  <c r="Z18" i="13"/>
  <c r="Z14" i="13"/>
  <c r="Y78" i="13"/>
  <c r="Y77" i="13"/>
  <c r="Y76" i="13"/>
  <c r="Y75" i="13"/>
  <c r="Y74" i="13"/>
  <c r="Y73" i="13"/>
  <c r="Y66" i="13"/>
  <c r="Y65" i="13"/>
  <c r="Y64" i="13"/>
  <c r="Y63" i="13"/>
  <c r="Y62" i="13"/>
  <c r="Y61" i="13"/>
  <c r="Y60" i="13"/>
  <c r="Y59" i="13"/>
  <c r="Y40" i="13"/>
  <c r="Y34" i="13"/>
  <c r="Y26" i="13"/>
  <c r="Z25" i="13"/>
  <c r="Z24" i="13"/>
  <c r="AA21" i="13"/>
  <c r="Z21" i="13"/>
  <c r="AA20" i="13"/>
  <c r="Z20" i="13"/>
  <c r="AA19" i="13"/>
  <c r="AA26" i="13" s="1"/>
  <c r="Y41" i="13" s="1"/>
  <c r="Z19" i="13"/>
  <c r="Z17" i="13"/>
  <c r="Z16" i="13"/>
  <c r="Z15" i="13"/>
  <c r="O49" i="13"/>
  <c r="O85" i="13"/>
  <c r="M59" i="13"/>
  <c r="N85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60" i="13"/>
  <c r="O48" i="13"/>
  <c r="O47" i="13"/>
  <c r="O46" i="13"/>
  <c r="O45" i="13"/>
  <c r="O44" i="13"/>
  <c r="O43" i="13"/>
  <c r="O42" i="13"/>
  <c r="O41" i="13"/>
  <c r="O23" i="13"/>
  <c r="P23" i="13" s="1"/>
  <c r="O22" i="13"/>
  <c r="P22" i="13" s="1"/>
  <c r="O21" i="13"/>
  <c r="T21" i="13" s="1"/>
  <c r="O20" i="13"/>
  <c r="T20" i="13" s="1"/>
  <c r="O19" i="13"/>
  <c r="T19" i="13" s="1"/>
  <c r="O18" i="13"/>
  <c r="O17" i="13"/>
  <c r="P17" i="13" s="1"/>
  <c r="T24" i="13"/>
  <c r="T25" i="13"/>
  <c r="O16" i="13"/>
  <c r="T15" i="13"/>
  <c r="T14" i="13"/>
  <c r="U24" i="13"/>
  <c r="U25" i="13"/>
  <c r="U14" i="13"/>
  <c r="U26" i="13" s="1"/>
  <c r="Q26" i="13"/>
  <c r="R26" i="13"/>
  <c r="S26" i="13"/>
  <c r="W10" i="9"/>
  <c r="W11" i="9"/>
  <c r="W12" i="9"/>
  <c r="W13" i="9"/>
  <c r="W14" i="9"/>
  <c r="W15" i="9"/>
  <c r="W16" i="9"/>
  <c r="W17" i="9"/>
  <c r="W18" i="9"/>
  <c r="W19" i="9"/>
  <c r="W20" i="9"/>
  <c r="W9" i="9"/>
  <c r="V10" i="9"/>
  <c r="V11" i="9"/>
  <c r="V12" i="9"/>
  <c r="V13" i="9"/>
  <c r="V14" i="9"/>
  <c r="V15" i="9"/>
  <c r="V16" i="9"/>
  <c r="V17" i="9"/>
  <c r="V18" i="9"/>
  <c r="V19" i="9"/>
  <c r="V20" i="9"/>
  <c r="V9" i="9"/>
  <c r="O59" i="13"/>
  <c r="O40" i="13"/>
  <c r="O34" i="13"/>
  <c r="O26" i="13"/>
  <c r="N26" i="13"/>
  <c r="P25" i="13"/>
  <c r="P24" i="13"/>
  <c r="P21" i="13"/>
  <c r="P20" i="13"/>
  <c r="P19" i="13"/>
  <c r="P18" i="13"/>
  <c r="P16" i="13"/>
  <c r="P15" i="13"/>
  <c r="P14" i="13"/>
  <c r="F59" i="13"/>
  <c r="H59" i="13" s="1"/>
  <c r="H49" i="13"/>
  <c r="H48" i="13"/>
  <c r="D40" i="13"/>
  <c r="H46" i="13" s="1"/>
  <c r="H40" i="13"/>
  <c r="I23" i="13"/>
  <c r="I21" i="13"/>
  <c r="I16" i="13"/>
  <c r="I15" i="13"/>
  <c r="G26" i="13"/>
  <c r="E15" i="20"/>
  <c r="J15" i="20"/>
  <c r="AY66" i="14"/>
  <c r="AH71" i="14"/>
  <c r="AH10" i="14"/>
  <c r="E36" i="10"/>
  <c r="F17" i="18"/>
  <c r="E17" i="18"/>
  <c r="F14" i="18"/>
  <c r="H34" i="13"/>
  <c r="J20" i="13"/>
  <c r="J21" i="13"/>
  <c r="J19" i="13"/>
  <c r="I20" i="13"/>
  <c r="I19" i="13"/>
  <c r="H26" i="13"/>
  <c r="I24" i="13"/>
  <c r="I25" i="13"/>
  <c r="I22" i="13"/>
  <c r="I17" i="13"/>
  <c r="I18" i="13"/>
  <c r="C9" i="17"/>
  <c r="AX90" i="14"/>
  <c r="AR90" i="14"/>
  <c r="AO66" i="14"/>
  <c r="AT66" i="14"/>
  <c r="AT67" i="14" s="1"/>
  <c r="AT68" i="14" s="1"/>
  <c r="AT69" i="14" s="1"/>
  <c r="AT70" i="14" s="1"/>
  <c r="AT71" i="14" s="1"/>
  <c r="AT72" i="14" s="1"/>
  <c r="AT73" i="14" s="1"/>
  <c r="AT74" i="14" s="1"/>
  <c r="AT75" i="14" s="1"/>
  <c r="AT76" i="14" s="1"/>
  <c r="AT77" i="14" s="1"/>
  <c r="AT78" i="14" s="1"/>
  <c r="AT79" i="14" s="1"/>
  <c r="AT80" i="14" s="1"/>
  <c r="AT81" i="14" s="1"/>
  <c r="AT82" i="14" s="1"/>
  <c r="AT83" i="14" s="1"/>
  <c r="AT84" i="14" s="1"/>
  <c r="AT85" i="14" s="1"/>
  <c r="AT86" i="14" s="1"/>
  <c r="AT87" i="14" s="1"/>
  <c r="AT88" i="14" s="1"/>
  <c r="AT89" i="14" s="1"/>
  <c r="AU89" i="14" s="1"/>
  <c r="AN66" i="14"/>
  <c r="Q115" i="9"/>
  <c r="AS72" i="14"/>
  <c r="AS74" i="14"/>
  <c r="AS75" i="14"/>
  <c r="AS76" i="14"/>
  <c r="AS77" i="14"/>
  <c r="AS82" i="14"/>
  <c r="AS86" i="14"/>
  <c r="AS87" i="14"/>
  <c r="AS88" i="14"/>
  <c r="AS89" i="14"/>
  <c r="AS81" i="14"/>
  <c r="AS79" i="14"/>
  <c r="AS73" i="14"/>
  <c r="AS69" i="14"/>
  <c r="AS67" i="14"/>
  <c r="AS68" i="14"/>
  <c r="AS70" i="14"/>
  <c r="AS71" i="14"/>
  <c r="AS78" i="14"/>
  <c r="AS80" i="14"/>
  <c r="AS83" i="14"/>
  <c r="AS84" i="14"/>
  <c r="AS85" i="14"/>
  <c r="AS66" i="14"/>
  <c r="AM67" i="14"/>
  <c r="AN67" i="14" s="1"/>
  <c r="AM68" i="14"/>
  <c r="AM69" i="14"/>
  <c r="AM70" i="14"/>
  <c r="AM71" i="14"/>
  <c r="AM72" i="14"/>
  <c r="AM73" i="14"/>
  <c r="AM74" i="14"/>
  <c r="AM75" i="14"/>
  <c r="AM76" i="14"/>
  <c r="AM77" i="14"/>
  <c r="AM78" i="14"/>
  <c r="AM79" i="14"/>
  <c r="AM80" i="14"/>
  <c r="AM81" i="14"/>
  <c r="AM82" i="14"/>
  <c r="AM83" i="14"/>
  <c r="AM84" i="14"/>
  <c r="AM85" i="14"/>
  <c r="AM86" i="14"/>
  <c r="AM87" i="14"/>
  <c r="AM88" i="14"/>
  <c r="AM89" i="14"/>
  <c r="AM66" i="14"/>
  <c r="I53" i="14"/>
  <c r="AH37" i="14"/>
  <c r="AH38" i="14"/>
  <c r="AH39" i="14"/>
  <c r="AH40" i="14"/>
  <c r="AH41" i="14"/>
  <c r="AH42" i="14"/>
  <c r="AH43" i="14"/>
  <c r="AH44" i="14"/>
  <c r="AH45" i="14"/>
  <c r="AH46" i="14"/>
  <c r="AH47" i="14"/>
  <c r="AH48" i="14"/>
  <c r="AH49" i="14"/>
  <c r="AH50" i="14"/>
  <c r="AH51" i="14"/>
  <c r="AH52" i="14"/>
  <c r="AH53" i="14"/>
  <c r="AH54" i="14"/>
  <c r="AH55" i="14"/>
  <c r="AH56" i="14"/>
  <c r="AH57" i="14"/>
  <c r="AH58" i="14"/>
  <c r="AH59" i="14"/>
  <c r="AH36" i="14"/>
  <c r="AH7" i="14"/>
  <c r="AH8" i="14"/>
  <c r="AH9" i="14"/>
  <c r="AH69" i="14" s="1"/>
  <c r="AY69" i="14" s="1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6" i="14"/>
  <c r="AD37" i="14"/>
  <c r="AD38" i="14"/>
  <c r="AD39" i="14"/>
  <c r="AD40" i="14"/>
  <c r="AD41" i="14"/>
  <c r="AD42" i="14"/>
  <c r="AD43" i="14"/>
  <c r="AD44" i="14"/>
  <c r="AD45" i="14"/>
  <c r="AD46" i="14"/>
  <c r="AD47" i="14"/>
  <c r="AD48" i="14"/>
  <c r="AD49" i="14"/>
  <c r="AD50" i="14"/>
  <c r="AD51" i="14"/>
  <c r="AD52" i="14"/>
  <c r="AD53" i="14"/>
  <c r="AD54" i="14"/>
  <c r="AD55" i="14"/>
  <c r="AD56" i="14"/>
  <c r="AD57" i="14"/>
  <c r="AD58" i="14"/>
  <c r="AD59" i="14"/>
  <c r="AD36" i="14"/>
  <c r="AD7" i="14"/>
  <c r="AD8" i="14"/>
  <c r="AD68" i="14" s="1"/>
  <c r="AD9" i="14"/>
  <c r="AD69" i="14" s="1"/>
  <c r="AD10" i="14"/>
  <c r="AD70" i="14" s="1"/>
  <c r="AD11" i="14"/>
  <c r="AD12" i="14"/>
  <c r="AD72" i="14" s="1"/>
  <c r="AD13" i="14"/>
  <c r="AD73" i="14" s="1"/>
  <c r="AD14" i="14"/>
  <c r="AD74" i="14" s="1"/>
  <c r="AD15" i="14"/>
  <c r="AD75" i="14" s="1"/>
  <c r="AD16" i="14"/>
  <c r="AD17" i="14"/>
  <c r="AD18" i="14"/>
  <c r="AD19" i="14"/>
  <c r="AD20" i="14"/>
  <c r="AD21" i="14"/>
  <c r="AD81" i="14" s="1"/>
  <c r="AD22" i="14"/>
  <c r="AD82" i="14" s="1"/>
  <c r="AD23" i="14"/>
  <c r="AD24" i="14"/>
  <c r="AD84" i="14" s="1"/>
  <c r="AD25" i="14"/>
  <c r="AD85" i="14" s="1"/>
  <c r="AD26" i="14"/>
  <c r="AD86" i="14" s="1"/>
  <c r="AD27" i="14"/>
  <c r="AD28" i="14"/>
  <c r="AD29" i="14"/>
  <c r="AD6" i="14"/>
  <c r="AD83" i="14"/>
  <c r="AD80" i="14"/>
  <c r="AD79" i="14"/>
  <c r="AD71" i="14"/>
  <c r="AD67" i="14"/>
  <c r="Z67" i="14"/>
  <c r="Z68" i="14"/>
  <c r="Z69" i="14"/>
  <c r="Z70" i="14"/>
  <c r="Z71" i="14"/>
  <c r="Z72" i="14"/>
  <c r="Z73" i="14"/>
  <c r="Z74" i="14"/>
  <c r="Z75" i="14"/>
  <c r="Z76" i="14"/>
  <c r="Z77" i="14"/>
  <c r="Z78" i="14"/>
  <c r="Z79" i="14"/>
  <c r="Z80" i="14"/>
  <c r="Z81" i="14"/>
  <c r="Z82" i="14"/>
  <c r="Z83" i="14"/>
  <c r="Z84" i="14"/>
  <c r="Z85" i="14"/>
  <c r="Z86" i="14"/>
  <c r="Z87" i="14"/>
  <c r="Z88" i="14"/>
  <c r="Z89" i="14"/>
  <c r="Z66" i="14"/>
  <c r="Z37" i="14"/>
  <c r="Z38" i="14"/>
  <c r="Z39" i="14"/>
  <c r="Z40" i="14"/>
  <c r="Z41" i="14"/>
  <c r="Z42" i="14"/>
  <c r="Z43" i="14"/>
  <c r="Z44" i="14"/>
  <c r="Z45" i="14"/>
  <c r="Z46" i="14"/>
  <c r="Z47" i="14"/>
  <c r="Z48" i="14"/>
  <c r="Z49" i="14"/>
  <c r="Z50" i="14"/>
  <c r="Z51" i="14"/>
  <c r="Z52" i="14"/>
  <c r="Z53" i="14"/>
  <c r="Z54" i="14"/>
  <c r="Z55" i="14"/>
  <c r="Z56" i="14"/>
  <c r="Z57" i="14"/>
  <c r="Z58" i="14"/>
  <c r="Z59" i="14"/>
  <c r="Z36" i="14"/>
  <c r="Z60" i="14" s="1"/>
  <c r="Z7" i="14"/>
  <c r="Z8" i="14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28" i="14"/>
  <c r="Z29" i="14"/>
  <c r="Z6" i="14"/>
  <c r="Z30" i="14" s="1"/>
  <c r="I41" i="14"/>
  <c r="I42" i="14"/>
  <c r="I43" i="14"/>
  <c r="I44" i="14"/>
  <c r="I45" i="14"/>
  <c r="I46" i="14"/>
  <c r="I47" i="14"/>
  <c r="I48" i="14"/>
  <c r="I49" i="14"/>
  <c r="I50" i="14"/>
  <c r="I51" i="14"/>
  <c r="I52" i="14"/>
  <c r="H42" i="14"/>
  <c r="H43" i="14"/>
  <c r="H44" i="14"/>
  <c r="H45" i="14"/>
  <c r="H46" i="14"/>
  <c r="H47" i="14"/>
  <c r="H48" i="14"/>
  <c r="H49" i="14"/>
  <c r="H50" i="14"/>
  <c r="H51" i="14"/>
  <c r="H52" i="14"/>
  <c r="H41" i="14"/>
  <c r="C14" i="13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88" i="9"/>
  <c r="O112" i="9"/>
  <c r="T56" i="9"/>
  <c r="T55" i="9"/>
  <c r="T54" i="9"/>
  <c r="Q75" i="9"/>
  <c r="Q74" i="9"/>
  <c r="O166" i="9"/>
  <c r="Q165" i="9"/>
  <c r="Q164" i="9"/>
  <c r="Q163" i="9"/>
  <c r="Q162" i="9"/>
  <c r="Q161" i="9"/>
  <c r="Q160" i="9"/>
  <c r="Q159" i="9"/>
  <c r="Q158" i="9"/>
  <c r="Q157" i="9"/>
  <c r="Q156" i="9"/>
  <c r="Q155" i="9"/>
  <c r="Q154" i="9"/>
  <c r="Q153" i="9"/>
  <c r="Q152" i="9"/>
  <c r="Q151" i="9"/>
  <c r="Q150" i="9"/>
  <c r="Q149" i="9"/>
  <c r="Q148" i="9"/>
  <c r="Q147" i="9"/>
  <c r="Q146" i="9"/>
  <c r="Q145" i="9"/>
  <c r="Q144" i="9"/>
  <c r="Q143" i="9"/>
  <c r="Q142" i="9"/>
  <c r="O139" i="9"/>
  <c r="Q77" i="9"/>
  <c r="Q78" i="9"/>
  <c r="Q73" i="9"/>
  <c r="Q66" i="9"/>
  <c r="Q67" i="9"/>
  <c r="Q62" i="9"/>
  <c r="Q64" i="9"/>
  <c r="Q65" i="9"/>
  <c r="Q68" i="9"/>
  <c r="Q69" i="9"/>
  <c r="Q70" i="9"/>
  <c r="Q71" i="9"/>
  <c r="Q72" i="9"/>
  <c r="Q76" i="9"/>
  <c r="Q79" i="9"/>
  <c r="Q80" i="9"/>
  <c r="Q81" i="9"/>
  <c r="Q82" i="9"/>
  <c r="Q83" i="9"/>
  <c r="Q84" i="9"/>
  <c r="Q61" i="9"/>
  <c r="S54" i="9"/>
  <c r="S55" i="9"/>
  <c r="S56" i="9"/>
  <c r="S53" i="9"/>
  <c r="Q54" i="9"/>
  <c r="Q55" i="9"/>
  <c r="Q56" i="9"/>
  <c r="Q53" i="9"/>
  <c r="T53" i="9" s="1"/>
  <c r="R54" i="9"/>
  <c r="R56" i="9"/>
  <c r="R55" i="9"/>
  <c r="R53" i="9"/>
  <c r="H27" i="9"/>
  <c r="H30" i="9"/>
  <c r="H29" i="9"/>
  <c r="Q42" i="9"/>
  <c r="H19" i="9"/>
  <c r="O42" i="9"/>
  <c r="T23" i="9"/>
  <c r="S23" i="9"/>
  <c r="R23" i="9"/>
  <c r="S22" i="9"/>
  <c r="O22" i="9"/>
  <c r="H7" i="9"/>
  <c r="H12" i="9" s="1"/>
  <c r="H6" i="9"/>
  <c r="S23" i="10"/>
  <c r="M29" i="10"/>
  <c r="S21" i="10"/>
  <c r="S20" i="10"/>
  <c r="S19" i="10"/>
  <c r="S17" i="10"/>
  <c r="H3" i="10"/>
  <c r="M7" i="10"/>
  <c r="M5" i="10"/>
  <c r="M4" i="10"/>
  <c r="H34" i="10"/>
  <c r="H33" i="10"/>
  <c r="H32" i="10"/>
  <c r="H31" i="10"/>
  <c r="H30" i="10"/>
  <c r="H29" i="10"/>
  <c r="H28" i="10"/>
  <c r="H27" i="10"/>
  <c r="H26" i="10"/>
  <c r="H21" i="10"/>
  <c r="H22" i="10"/>
  <c r="H20" i="10"/>
  <c r="H19" i="10"/>
  <c r="H18" i="10"/>
  <c r="H17" i="10"/>
  <c r="H16" i="10"/>
  <c r="H15" i="10"/>
  <c r="H14" i="10"/>
  <c r="H4" i="10"/>
  <c r="H5" i="10"/>
  <c r="H6" i="10"/>
  <c r="H7" i="10"/>
  <c r="H8" i="10"/>
  <c r="H9" i="10"/>
  <c r="AF18" i="17" l="1"/>
  <c r="Y24" i="17"/>
  <c r="Y26" i="17"/>
  <c r="Y29" i="17"/>
  <c r="Y30" i="17" s="1"/>
  <c r="AB18" i="17"/>
  <c r="Q18" i="17"/>
  <c r="H8" i="9"/>
  <c r="R18" i="17"/>
  <c r="N23" i="17" s="1"/>
  <c r="S18" i="17"/>
  <c r="H14" i="17"/>
  <c r="G19" i="17"/>
  <c r="AK26" i="13"/>
  <c r="AF41" i="13" s="1"/>
  <c r="AG17" i="13"/>
  <c r="AG26" i="13" s="1"/>
  <c r="AF30" i="13" s="1"/>
  <c r="AF32" i="13" s="1"/>
  <c r="AF35" i="13" s="1"/>
  <c r="AF37" i="13" s="1"/>
  <c r="X26" i="13"/>
  <c r="Z26" i="13"/>
  <c r="Y30" i="13" s="1"/>
  <c r="Y32" i="13" s="1"/>
  <c r="Y35" i="13" s="1"/>
  <c r="Y37" i="13" s="1"/>
  <c r="Y80" i="13"/>
  <c r="Y81" i="13" s="1"/>
  <c r="Y50" i="13"/>
  <c r="T26" i="13"/>
  <c r="P26" i="13"/>
  <c r="O30" i="13" s="1"/>
  <c r="O32" i="13" s="1"/>
  <c r="O35" i="13" s="1"/>
  <c r="O37" i="13" s="1"/>
  <c r="W22" i="9"/>
  <c r="V22" i="9"/>
  <c r="I14" i="13"/>
  <c r="I26" i="13" s="1"/>
  <c r="H30" i="13" s="1"/>
  <c r="H32" i="13" s="1"/>
  <c r="H35" i="13" s="1"/>
  <c r="H37" i="13" s="1"/>
  <c r="AU75" i="14"/>
  <c r="AU87" i="14"/>
  <c r="AU79" i="14"/>
  <c r="AU88" i="14"/>
  <c r="AU66" i="14"/>
  <c r="AU68" i="14"/>
  <c r="AU80" i="14"/>
  <c r="AU67" i="14"/>
  <c r="AU69" i="14"/>
  <c r="AU81" i="14"/>
  <c r="AU76" i="14"/>
  <c r="AU77" i="14"/>
  <c r="AU78" i="14"/>
  <c r="AU70" i="14"/>
  <c r="AU82" i="14"/>
  <c r="AU71" i="14"/>
  <c r="AU83" i="14"/>
  <c r="AU84" i="14"/>
  <c r="AU72" i="14"/>
  <c r="AU73" i="14"/>
  <c r="AU85" i="14"/>
  <c r="AU74" i="14"/>
  <c r="AU86" i="14"/>
  <c r="AM90" i="14"/>
  <c r="AO67" i="14"/>
  <c r="AN68" i="14"/>
  <c r="AH66" i="14"/>
  <c r="AZ66" i="14" s="1"/>
  <c r="AH70" i="14"/>
  <c r="AY70" i="14" s="1"/>
  <c r="AH67" i="14"/>
  <c r="AY67" i="14" s="1"/>
  <c r="AZ67" i="14" s="1"/>
  <c r="P42" i="9"/>
  <c r="J26" i="13"/>
  <c r="H41" i="13" s="1"/>
  <c r="H43" i="13" s="1"/>
  <c r="BA66" i="14"/>
  <c r="AS90" i="14"/>
  <c r="AH60" i="14"/>
  <c r="AH82" i="14"/>
  <c r="AY82" i="14" s="1"/>
  <c r="AH78" i="14"/>
  <c r="AY78" i="14" s="1"/>
  <c r="AH89" i="14"/>
  <c r="AY89" i="14" s="1"/>
  <c r="AH77" i="14"/>
  <c r="AY77" i="14" s="1"/>
  <c r="AH88" i="14"/>
  <c r="AY88" i="14" s="1"/>
  <c r="AH76" i="14"/>
  <c r="AY76" i="14" s="1"/>
  <c r="AH87" i="14"/>
  <c r="AY87" i="14" s="1"/>
  <c r="AH75" i="14"/>
  <c r="AY75" i="14" s="1"/>
  <c r="AH86" i="14"/>
  <c r="AY86" i="14" s="1"/>
  <c r="AH74" i="14"/>
  <c r="AH85" i="14"/>
  <c r="AY85" i="14" s="1"/>
  <c r="AH73" i="14"/>
  <c r="AY73" i="14" s="1"/>
  <c r="AH84" i="14"/>
  <c r="AY84" i="14" s="1"/>
  <c r="AH72" i="14"/>
  <c r="AY72" i="14" s="1"/>
  <c r="AH83" i="14"/>
  <c r="AY83" i="14" s="1"/>
  <c r="AY71" i="14"/>
  <c r="AH81" i="14"/>
  <c r="AY81" i="14" s="1"/>
  <c r="AH79" i="14"/>
  <c r="AY79" i="14" s="1"/>
  <c r="AH68" i="14"/>
  <c r="AY68" i="14" s="1"/>
  <c r="AH80" i="14"/>
  <c r="AY80" i="14" s="1"/>
  <c r="AD66" i="14"/>
  <c r="AD88" i="14"/>
  <c r="AD87" i="14"/>
  <c r="AD60" i="14"/>
  <c r="AD78" i="14"/>
  <c r="AD89" i="14"/>
  <c r="AD77" i="14"/>
  <c r="AD76" i="14"/>
  <c r="AH30" i="14"/>
  <c r="AD90" i="14"/>
  <c r="AD30" i="14"/>
  <c r="Z90" i="14"/>
  <c r="Q139" i="9"/>
  <c r="Q112" i="9"/>
  <c r="Q166" i="9"/>
  <c r="Q63" i="9"/>
  <c r="O85" i="9"/>
  <c r="Q85" i="9" s="1"/>
  <c r="H35" i="10"/>
  <c r="W48" i="17" l="1"/>
  <c r="W49" i="17"/>
  <c r="W52" i="17"/>
  <c r="W50" i="17"/>
  <c r="W39" i="17"/>
  <c r="W53" i="17"/>
  <c r="W43" i="17"/>
  <c r="W55" i="17"/>
  <c r="W44" i="17"/>
  <c r="W56" i="17"/>
  <c r="W45" i="17"/>
  <c r="W57" i="17"/>
  <c r="W54" i="17"/>
  <c r="W46" i="17"/>
  <c r="W38" i="17"/>
  <c r="W47" i="17"/>
  <c r="W51" i="17"/>
  <c r="W40" i="17"/>
  <c r="W41" i="17"/>
  <c r="W42" i="17"/>
  <c r="N22" i="17"/>
  <c r="N26" i="17" s="1"/>
  <c r="H13" i="9"/>
  <c r="H28" i="9" s="1"/>
  <c r="U23" i="9"/>
  <c r="AF48" i="13"/>
  <c r="AF49" i="13" s="1"/>
  <c r="Y51" i="13"/>
  <c r="H47" i="13"/>
  <c r="H45" i="13"/>
  <c r="H50" i="13"/>
  <c r="H51" i="13" s="1"/>
  <c r="AN69" i="14"/>
  <c r="AO68" i="14"/>
  <c r="BA67" i="14"/>
  <c r="AH90" i="14"/>
  <c r="AY74" i="14"/>
  <c r="AY90" i="14" s="1"/>
  <c r="AZ68" i="14"/>
  <c r="H36" i="10"/>
  <c r="J35" i="10"/>
  <c r="M31" i="10" s="1"/>
  <c r="M32" i="10" s="1"/>
  <c r="N24" i="17" l="1"/>
  <c r="N29" i="17" s="1"/>
  <c r="N30" i="17" s="1"/>
  <c r="AD68" i="13"/>
  <c r="AF68" i="13" s="1"/>
  <c r="AD62" i="13"/>
  <c r="AF62" i="13" s="1"/>
  <c r="AD75" i="13"/>
  <c r="AF75" i="13" s="1"/>
  <c r="AD69" i="13"/>
  <c r="AF69" i="13" s="1"/>
  <c r="AD63" i="13"/>
  <c r="AF63" i="13" s="1"/>
  <c r="AD74" i="13"/>
  <c r="AF74" i="13" s="1"/>
  <c r="AD66" i="13"/>
  <c r="AF66" i="13" s="1"/>
  <c r="AD72" i="13"/>
  <c r="AF72" i="13" s="1"/>
  <c r="AD79" i="13"/>
  <c r="AF79" i="13" s="1"/>
  <c r="AD73" i="13"/>
  <c r="AF73" i="13" s="1"/>
  <c r="AD67" i="13"/>
  <c r="AF67" i="13" s="1"/>
  <c r="AD61" i="13"/>
  <c r="AF61" i="13" s="1"/>
  <c r="AD77" i="13"/>
  <c r="AF77" i="13" s="1"/>
  <c r="AD71" i="13"/>
  <c r="AF71" i="13" s="1"/>
  <c r="AD65" i="13"/>
  <c r="AF65" i="13" s="1"/>
  <c r="AD60" i="13"/>
  <c r="AF60" i="13" s="1"/>
  <c r="AD70" i="13"/>
  <c r="AF70" i="13" s="1"/>
  <c r="AD64" i="13"/>
  <c r="AF64" i="13" s="1"/>
  <c r="AD76" i="13"/>
  <c r="AF76" i="13" s="1"/>
  <c r="AD78" i="13"/>
  <c r="AF78" i="13" s="1"/>
  <c r="F62" i="13"/>
  <c r="H62" i="13" s="1"/>
  <c r="O78" i="13"/>
  <c r="O70" i="13"/>
  <c r="O62" i="13"/>
  <c r="F72" i="13"/>
  <c r="H72" i="13" s="1"/>
  <c r="O67" i="13"/>
  <c r="O66" i="13"/>
  <c r="F78" i="13"/>
  <c r="H78" i="13" s="1"/>
  <c r="O77" i="13"/>
  <c r="F73" i="13"/>
  <c r="H73" i="13" s="1"/>
  <c r="O68" i="13"/>
  <c r="F63" i="13"/>
  <c r="H63" i="13" s="1"/>
  <c r="F76" i="13"/>
  <c r="O75" i="13"/>
  <c r="F77" i="13"/>
  <c r="O74" i="13"/>
  <c r="O69" i="13"/>
  <c r="O61" i="13"/>
  <c r="F61" i="13"/>
  <c r="H61" i="13" s="1"/>
  <c r="F74" i="13"/>
  <c r="O76" i="13"/>
  <c r="O60" i="13"/>
  <c r="F75" i="13"/>
  <c r="H75" i="13" s="1"/>
  <c r="F64" i="13"/>
  <c r="H64" i="13" s="1"/>
  <c r="O65" i="13"/>
  <c r="F67" i="13"/>
  <c r="H67" i="13" s="1"/>
  <c r="F79" i="13"/>
  <c r="H79" i="13" s="1"/>
  <c r="O73" i="13"/>
  <c r="F68" i="13"/>
  <c r="H68" i="13" s="1"/>
  <c r="F60" i="13"/>
  <c r="H60" i="13" s="1"/>
  <c r="O72" i="13"/>
  <c r="O64" i="13"/>
  <c r="F69" i="13"/>
  <c r="H69" i="13" s="1"/>
  <c r="F70" i="13"/>
  <c r="H70" i="13" s="1"/>
  <c r="O71" i="13"/>
  <c r="O79" i="13"/>
  <c r="O63" i="13"/>
  <c r="F71" i="13"/>
  <c r="H71" i="13" s="1"/>
  <c r="F65" i="13"/>
  <c r="H65" i="13" s="1"/>
  <c r="F66" i="13"/>
  <c r="H66" i="13" s="1"/>
  <c r="AN70" i="14"/>
  <c r="AO69" i="14"/>
  <c r="AZ69" i="14"/>
  <c r="BA68" i="14"/>
  <c r="H74" i="13"/>
  <c r="H76" i="13"/>
  <c r="H77" i="13"/>
  <c r="U22" i="9"/>
  <c r="H37" i="10"/>
  <c r="J37" i="10" s="1"/>
  <c r="J36" i="10"/>
  <c r="M9" i="10"/>
  <c r="M10" i="10" s="1"/>
  <c r="M11" i="10" s="1"/>
  <c r="M12" i="10" s="1"/>
  <c r="Q22" i="9"/>
  <c r="Y40" i="17" l="1"/>
  <c r="L59" i="17"/>
  <c r="N59" i="17" s="1"/>
  <c r="L71" i="17"/>
  <c r="N71" i="17" s="1"/>
  <c r="Y48" i="17"/>
  <c r="Y39" i="17"/>
  <c r="L60" i="17"/>
  <c r="N60" i="17" s="1"/>
  <c r="L52" i="17"/>
  <c r="N52" i="17" s="1"/>
  <c r="L58" i="17"/>
  <c r="N58" i="17" s="1"/>
  <c r="Y57" i="17"/>
  <c r="Y38" i="17"/>
  <c r="L61" i="17"/>
  <c r="N61" i="17" s="1"/>
  <c r="Y56" i="17"/>
  <c r="Y47" i="17"/>
  <c r="L62" i="17"/>
  <c r="N62" i="17" s="1"/>
  <c r="Y41" i="17"/>
  <c r="Y55" i="17"/>
  <c r="Y46" i="17"/>
  <c r="L63" i="17"/>
  <c r="N63" i="17" s="1"/>
  <c r="Y45" i="17"/>
  <c r="L64" i="17"/>
  <c r="N64" i="17" s="1"/>
  <c r="Y54" i="17"/>
  <c r="Y44" i="17"/>
  <c r="L53" i="17"/>
  <c r="N53" i="17" s="1"/>
  <c r="L65" i="17"/>
  <c r="N65" i="17" s="1"/>
  <c r="Y53" i="17"/>
  <c r="Y43" i="17"/>
  <c r="L54" i="17"/>
  <c r="N54" i="17" s="1"/>
  <c r="L66" i="17"/>
  <c r="N66" i="17" s="1"/>
  <c r="Y49" i="17"/>
  <c r="Y52" i="17"/>
  <c r="L55" i="17"/>
  <c r="N55" i="17" s="1"/>
  <c r="L67" i="17"/>
  <c r="N67" i="17" s="1"/>
  <c r="L70" i="17"/>
  <c r="N70" i="17" s="1"/>
  <c r="Y51" i="17"/>
  <c r="Y42" i="17"/>
  <c r="L56" i="17"/>
  <c r="N56" i="17" s="1"/>
  <c r="L68" i="17"/>
  <c r="N68" i="17" s="1"/>
  <c r="Y50" i="17"/>
  <c r="L57" i="17"/>
  <c r="N57" i="17" s="1"/>
  <c r="L69" i="17"/>
  <c r="N69" i="17" s="1"/>
  <c r="AF80" i="13"/>
  <c r="AF81" i="13" s="1"/>
  <c r="O80" i="13"/>
  <c r="O81" i="13" s="1"/>
  <c r="H80" i="13"/>
  <c r="H81" i="13" s="1"/>
  <c r="AN71" i="14"/>
  <c r="AO70" i="14"/>
  <c r="AZ70" i="14"/>
  <c r="BA69" i="14"/>
  <c r="R22" i="9"/>
  <c r="Y58" i="17" l="1"/>
  <c r="Y59" i="17" s="1"/>
  <c r="N72" i="17"/>
  <c r="N73" i="17" s="1"/>
  <c r="AN72" i="14"/>
  <c r="AO71" i="14"/>
  <c r="AZ71" i="14"/>
  <c r="BA70" i="14"/>
  <c r="AN73" i="14" l="1"/>
  <c r="AO72" i="14"/>
  <c r="AZ72" i="14"/>
  <c r="BA71" i="14"/>
  <c r="AN74" i="14" l="1"/>
  <c r="AO73" i="14"/>
  <c r="AZ73" i="14"/>
  <c r="BA72" i="14"/>
  <c r="AN75" i="14" l="1"/>
  <c r="AO74" i="14"/>
  <c r="AZ74" i="14"/>
  <c r="BA73" i="14"/>
  <c r="AN76" i="14" l="1"/>
  <c r="AO75" i="14"/>
  <c r="AZ75" i="14"/>
  <c r="BA74" i="14"/>
  <c r="AN77" i="14" l="1"/>
  <c r="AO76" i="14"/>
  <c r="AZ76" i="14"/>
  <c r="BA75" i="14"/>
  <c r="AN78" i="14" l="1"/>
  <c r="AO77" i="14"/>
  <c r="AZ77" i="14"/>
  <c r="BA76" i="14"/>
  <c r="AN79" i="14" l="1"/>
  <c r="AO78" i="14"/>
  <c r="AZ78" i="14"/>
  <c r="BA77" i="14"/>
  <c r="AN80" i="14" l="1"/>
  <c r="AO79" i="14"/>
  <c r="AZ79" i="14"/>
  <c r="BA78" i="14"/>
  <c r="AN81" i="14" l="1"/>
  <c r="AO80" i="14"/>
  <c r="AZ80" i="14"/>
  <c r="BA79" i="14"/>
  <c r="AN82" i="14" l="1"/>
  <c r="AO81" i="14"/>
  <c r="AZ81" i="14"/>
  <c r="BA80" i="14"/>
  <c r="AN83" i="14" l="1"/>
  <c r="AO82" i="14"/>
  <c r="AZ82" i="14"/>
  <c r="BA81" i="14"/>
  <c r="AN84" i="14" l="1"/>
  <c r="AO83" i="14"/>
  <c r="AZ83" i="14"/>
  <c r="BA82" i="14"/>
  <c r="AN85" i="14" l="1"/>
  <c r="AO84" i="14"/>
  <c r="AZ84" i="14"/>
  <c r="BA83" i="14"/>
  <c r="AN86" i="14" l="1"/>
  <c r="AO85" i="14"/>
  <c r="AZ85" i="14"/>
  <c r="BA84" i="14"/>
  <c r="AN87" i="14" l="1"/>
  <c r="AO86" i="14"/>
  <c r="AZ86" i="14"/>
  <c r="BA85" i="14"/>
  <c r="AN88" i="14" l="1"/>
  <c r="AO87" i="14"/>
  <c r="AZ87" i="14"/>
  <c r="BA86" i="14"/>
  <c r="AN89" i="14" l="1"/>
  <c r="AO89" i="14" s="1"/>
  <c r="AO88" i="14"/>
  <c r="AZ88" i="14"/>
  <c r="BA87" i="14"/>
  <c r="AZ89" i="14" l="1"/>
  <c r="BA88" i="14"/>
  <c r="BA89" i="14" l="1"/>
  <c r="AZ90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EA6BB9-CD17-4FF7-A4E7-64434248D691}" keepAlive="1" name="Dotaz – Dailydata_49 343_14 714_SA2_06_36deg_15deg" description="Připojení k dotazu produktu Dailydata_49 343_14 714_SA2_06_36deg_15deg v sešitě" type="5" refreshedVersion="0" background="1">
    <dbPr connection="Provider=Microsoft.Mashup.OleDb.1;Data Source=$Workbook$;Location=&quot;Dailydata_49 343_14 714_SA2_06_36deg_15deg&quot;;Extended Properties=&quot;&quot;" command="SELECT * FROM [Dailydata_49 343_14 714_SA2_06_36deg_15deg]"/>
  </connection>
  <connection id="2" xr16:uid="{908FB8A0-A87B-488E-99F0-04F672CB6DAA}" keepAlive="1" name="Dotaz – Dailydata_49 343_14 714_SA2_06_90deg_15deg" description="Připojení k dotazu produktu Dailydata_49 343_14 714_SA2_06_90deg_15deg v sešitě" type="5" refreshedVersion="0" background="1">
    <dbPr connection="Provider=Microsoft.Mashup.OleDb.1;Data Source=$Workbook$;Location=&quot;Dailydata_49 343_14 714_SA2_06_90deg_15deg&quot;;Extended Properties=&quot;&quot;" command="SELECT * FROM [Dailydata_49 343_14 714_SA2_06_90deg_15deg]"/>
  </connection>
  <connection id="3" xr16:uid="{48817A07-E31B-4FF8-B7FA-9EBB1390E01E}" keepAlive="1" name="Dotaz – Dailydata_49 343_14 714_SA2_08_90deg_15deg" description="Připojení k dotazu produktu Dailydata_49 343_14 714_SA2_08_90deg_15deg v sešitě" type="5" refreshedVersion="0" background="1">
    <dbPr connection="Provider=Microsoft.Mashup.OleDb.1;Data Source=$Workbook$;Location=&quot;Dailydata_49 343_14 714_SA2_08_90deg_15deg&quot;;Extended Properties=&quot;&quot;" command="SELECT * FROM [Dailydata_49 343_14 714_SA2_08_90deg_15deg]"/>
  </connection>
  <connection id="4" xr16:uid="{3050B397-85B3-42D1-92DA-9B26FDF7DDA0}" keepAlive="1" name="Dotaz – Dailydata_49 343_14 714_SA2_08_90deg_15deg (2)" description="Připojení k dotazu produktu Dailydata_49 343_14 714_SA2_08_90deg_15deg (2) v sešitě" type="5" refreshedVersion="0" background="1">
    <dbPr connection="Provider=Microsoft.Mashup.OleDb.1;Data Source=$Workbook$;Location=&quot;Dailydata_49 343_14 714_SA2_08_90deg_15deg (2)&quot;;Extended Properties=&quot;&quot;" command="SELECT * FROM [Dailydata_49 343_14 714_SA2_08_90deg_15deg (2)]"/>
  </connection>
</connections>
</file>

<file path=xl/sharedStrings.xml><?xml version="1.0" encoding="utf-8"?>
<sst xmlns="http://schemas.openxmlformats.org/spreadsheetml/2006/main" count="1130" uniqueCount="360">
  <si>
    <t>-</t>
  </si>
  <si>
    <t>Číslo místnosti</t>
  </si>
  <si>
    <t>Výměra [$m^2$]</t>
  </si>
  <si>
    <t>Plocha místnosti</t>
  </si>
  <si>
    <t>Objem místnosti</t>
  </si>
  <si>
    <t xml:space="preserve">hyg. Koef </t>
  </si>
  <si>
    <t>Celkové větrání výkon</t>
  </si>
  <si>
    <t>Množství paliva za rok [t]</t>
  </si>
  <si>
    <t>Materiál</t>
  </si>
  <si>
    <t>d [cm]</t>
  </si>
  <si>
    <t>λu [W.m-1.K-1]</t>
  </si>
  <si>
    <t>Výhřevnost paliva [MJ/kg]</t>
  </si>
  <si>
    <t>Omítka vápenná</t>
  </si>
  <si>
    <t>2.5</t>
  </si>
  <si>
    <t>0.88</t>
  </si>
  <si>
    <t>Výhřevnost paliva [kWh/kg]</t>
  </si>
  <si>
    <t>KMB PROFIBLOK 65</t>
  </si>
  <si>
    <t>6.5</t>
  </si>
  <si>
    <t>0.299</t>
  </si>
  <si>
    <t>Přeměněno energie za 250 dnů [kWh]</t>
  </si>
  <si>
    <t>Malta vápenocementová</t>
  </si>
  <si>
    <t>3</t>
  </si>
  <si>
    <t>0.97</t>
  </si>
  <si>
    <t>Účinnost kotle [-]</t>
  </si>
  <si>
    <t>Škvárobetonové tvárnice</t>
  </si>
  <si>
    <t>33</t>
  </si>
  <si>
    <t>0.52</t>
  </si>
  <si>
    <t>Přeměněno do otopné soustavy [kWh]</t>
  </si>
  <si>
    <t>Omítka perlitová</t>
  </si>
  <si>
    <t>5</t>
  </si>
  <si>
    <t>0.1</t>
  </si>
  <si>
    <t>Odečtena ztráta větráním [kWh]</t>
  </si>
  <si>
    <t>H [W/K]</t>
  </si>
  <si>
    <t>U celkové [W/k*m2]</t>
  </si>
  <si>
    <t>U zděné konstrukce [W/k*m2]</t>
  </si>
  <si>
    <t>Vaření:</t>
  </si>
  <si>
    <t>Hmotnost náplně [kg]</t>
  </si>
  <si>
    <t>10</t>
  </si>
  <si>
    <t>Hustota plynu [kg/m3]</t>
  </si>
  <si>
    <t>0,68</t>
  </si>
  <si>
    <t>Objem náplně [m3]</t>
  </si>
  <si>
    <t>Výhřevnost [MJ/m3]</t>
  </si>
  <si>
    <t>Získaná energie [MJ]</t>
  </si>
  <si>
    <t>Získaná energie [kWh]</t>
  </si>
  <si>
    <t>Pro 3 lahve ročně:</t>
  </si>
  <si>
    <t>Kontrola výpočtu:</t>
  </si>
  <si>
    <t>Tepelný spád [K]</t>
  </si>
  <si>
    <t>Celkový ztrátový výkon [W]</t>
  </si>
  <si>
    <t>Ztrátový výkon po započtení větrání [W]</t>
  </si>
  <si>
    <t>Dodaná energie za 250 dnů [MWh]</t>
  </si>
  <si>
    <t>W</t>
  </si>
  <si>
    <t>kW</t>
  </si>
  <si>
    <t>kWh za 250 dnů</t>
  </si>
  <si>
    <t>Soupis spotřebičů</t>
  </si>
  <si>
    <t>Název spotřebiče</t>
  </si>
  <si>
    <t>Výrobce</t>
  </si>
  <si>
    <t>Příkon spotřebiče [W]</t>
  </si>
  <si>
    <t>Automatická pračka</t>
  </si>
  <si>
    <t>Bosch</t>
  </si>
  <si>
    <t>Stojanová bruska</t>
  </si>
  <si>
    <t>ELK</t>
  </si>
  <si>
    <t>Elektrický bojler</t>
  </si>
  <si>
    <t>Dražice</t>
  </si>
  <si>
    <t>Svítidla</t>
  </si>
  <si>
    <t>Robotický vysavač</t>
  </si>
  <si>
    <t>Tesla</t>
  </si>
  <si>
    <t>Kombinovaný sporák</t>
  </si>
  <si>
    <t>Mora</t>
  </si>
  <si>
    <t>Televize</t>
  </si>
  <si>
    <t>Samsung</t>
  </si>
  <si>
    <t>Philips</t>
  </si>
  <si>
    <t>Notebook</t>
  </si>
  <si>
    <t>Acer</t>
  </si>
  <si>
    <t>Nabíječka na tepefon</t>
  </si>
  <si>
    <t>Xiaomi</t>
  </si>
  <si>
    <t>Lednice</t>
  </si>
  <si>
    <t>Whirlpool</t>
  </si>
  <si>
    <t>Rychlovarná konvice</t>
  </si>
  <si>
    <t>ETA</t>
  </si>
  <si>
    <t>Vysavač</t>
  </si>
  <si>
    <t>Miele</t>
  </si>
  <si>
    <t>Stolní počítač</t>
  </si>
  <si>
    <t>Dell</t>
  </si>
  <si>
    <t>Nabíječky na telefon</t>
  </si>
  <si>
    <t>Teplovzdušný ventilátor</t>
  </si>
  <si>
    <t>Mikrovlnná trouba</t>
  </si>
  <si>
    <t>Varianta zdroje tepla</t>
  </si>
  <si>
    <t>Podpora [Kč]</t>
  </si>
  <si>
    <t>Kotel na biomasu vč. akumulační nádrže/se samočinnou dodávkou paliva</t>
  </si>
  <si>
    <t>Kotel na biomasu se samočinnou dodávkou paliva a celosezónním zásobníkem pelet</t>
  </si>
  <si>
    <t xml:space="preserve">Tepelné čerpadlo s teplovodním systémem vytápění a přípravou teplé vody </t>
  </si>
  <si>
    <t>Tepelné čerpadlo s teplovodním systémem vytápění bez přípravy teplé vody</t>
  </si>
  <si>
    <t>Tepelné čerpadlo pro teplovodní systém vytápění s přípravou teplé vody připojené k FV systému</t>
  </si>
  <si>
    <t>Napojení na soustavu zásobování teplem</t>
  </si>
  <si>
    <t>Vatianta fotovoltaického systému</t>
  </si>
  <si>
    <t>Základní instalace o výkonu 2 kWp se standardním měničem</t>
  </si>
  <si>
    <t>Základní instalace o výkonu 2 kWp s hybridním měničem</t>
  </si>
  <si>
    <t>Základní instalace o výkonu 2 kWp s efektivním využitím tepelného čerpadla</t>
  </si>
  <si>
    <t>Za každý další 1 kWp instalovaného výkonu</t>
  </si>
  <si>
    <t>Za 1 kWh el. akumulačního systému</t>
  </si>
  <si>
    <t>Vatianta systému ohřevu vody</t>
  </si>
  <si>
    <t>Solární termický ohřev teplé vody s přitápěním</t>
  </si>
  <si>
    <t>Solární termický ohřev teplé vody</t>
  </si>
  <si>
    <t>Fotovoltaický ohřev teplé vody</t>
  </si>
  <si>
    <t>Tepelné čerpadlo pro ohřev teplé vody</t>
  </si>
  <si>
    <t>Název položky</t>
  </si>
  <si>
    <t>K</t>
  </si>
  <si>
    <t>Účinnost přeměny [-]</t>
  </si>
  <si>
    <t>VT ročně</t>
  </si>
  <si>
    <t>VT půlrok</t>
  </si>
  <si>
    <t>NT půlrok</t>
  </si>
  <si>
    <t>NT ročně</t>
  </si>
  <si>
    <t>Srpen až prosinec</t>
  </si>
  <si>
    <t>Prosinec až srpen</t>
  </si>
  <si>
    <t>MWh</t>
  </si>
  <si>
    <t xml:space="preserve">Celkem </t>
  </si>
  <si>
    <t>C</t>
  </si>
  <si>
    <t>Teplota vody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</si>
  <si>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</si>
  <si>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</si>
  <si>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</si>
  <si>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</si>
  <si>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</si>
  <si>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</si>
  <si>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</si>
  <si>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</si>
  <si>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</si>
  <si>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</si>
  <si>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</si>
  <si>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</si>
  <si>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Na ohřev vody</t>
  </si>
  <si>
    <t>NT bez bojleru</t>
  </si>
  <si>
    <t>Dlouhodobý normál teploty</t>
  </si>
  <si>
    <t>NT bez bojleru + VT</t>
  </si>
  <si>
    <t>Celková spotřeba měsíční MWh</t>
  </si>
  <si>
    <t>Průměr</t>
  </si>
  <si>
    <t>Žádaná hodnota</t>
  </si>
  <si>
    <t>Spotřeba elektrické energie</t>
  </si>
  <si>
    <t>Dodané teplo [MWh]</t>
  </si>
  <si>
    <t>Elektrická energie</t>
  </si>
  <si>
    <t>Ročně</t>
  </si>
  <si>
    <t>Délka topné sezóny</t>
  </si>
  <si>
    <t>dnů</t>
  </si>
  <si>
    <t>Průměr na měsíc</t>
  </si>
  <si>
    <t>Ventilátor na toaletě [MWh]</t>
  </si>
  <si>
    <t>Energie na vytápění</t>
  </si>
  <si>
    <t>Energie na vaření</t>
  </si>
  <si>
    <t>Bez ohřevu vody</t>
  </si>
  <si>
    <t>a bez ventilátoru</t>
  </si>
  <si>
    <t>Energie dodaná na vytápění</t>
  </si>
  <si>
    <t>Elektrická energie ostatní</t>
  </si>
  <si>
    <t>Energie dodaná na ohřev vody</t>
  </si>
  <si>
    <t>Energie dodaná na vaření</t>
  </si>
  <si>
    <t>Spotřeba bojleru za den [kWh]</t>
  </si>
  <si>
    <t>Doba ohřevu při 2,2 kW [h]</t>
  </si>
  <si>
    <t>Spotřeba rychlovarné konvice [kWh]</t>
  </si>
  <si>
    <t>Zbytek [kWh] denně</t>
  </si>
  <si>
    <t>Koeficient vytížení</t>
  </si>
  <si>
    <t>Bojler</t>
  </si>
  <si>
    <t>Spotřeba energie za hodinu</t>
  </si>
  <si>
    <t>Cena [Kč]</t>
  </si>
  <si>
    <t>Stavební úpravy kotelny</t>
  </si>
  <si>
    <t>Automatický podavač na pelety ATMOS DA2500</t>
  </si>
  <si>
    <t>Instalace kotle a zapojení pro ohřev TV</t>
  </si>
  <si>
    <t>ATMOS Odpopelňovací zařízení bez přídavného popelníku pro kotle D15P, D20P</t>
  </si>
  <si>
    <t>ATMOS přídavný poleník malý</t>
  </si>
  <si>
    <t>Celkem</t>
  </si>
  <si>
    <t>Demontáž, odvoz a likvidace starého kotle</t>
  </si>
  <si>
    <t>Parametr</t>
  </si>
  <si>
    <t>Hodnota</t>
  </si>
  <si>
    <t>Jednotka</t>
  </si>
  <si>
    <t>6.5 - 22</t>
  </si>
  <si>
    <t>Výkon</t>
  </si>
  <si>
    <t>Hmotnost</t>
  </si>
  <si>
    <t>kg</t>
  </si>
  <si>
    <t>315</t>
  </si>
  <si>
    <t>Účinnost</t>
  </si>
  <si>
    <t>%</t>
  </si>
  <si>
    <t>91.1</t>
  </si>
  <si>
    <t>Třída kotle</t>
  </si>
  <si>
    <t>Kombinovaný bojler Dražice OKC 200 110720801</t>
  </si>
  <si>
    <t>Úprava hydraulického systému ohřevu TV a vytápění objektu</t>
  </si>
  <si>
    <t>Pokojový termostat</t>
  </si>
  <si>
    <t>Měsíční spotřeba energie bojleru [MWh]</t>
  </si>
  <si>
    <t>Špičkový výkon</t>
  </si>
  <si>
    <t>450</t>
  </si>
  <si>
    <t>Wp</t>
  </si>
  <si>
    <t>24.3</t>
  </si>
  <si>
    <t>20.7</t>
  </si>
  <si>
    <t>Produktová záruka</t>
  </si>
  <si>
    <t>let</t>
  </si>
  <si>
    <t>15</t>
  </si>
  <si>
    <t>Záruka výkonu</t>
  </si>
  <si>
    <t>% za let</t>
  </si>
  <si>
    <t>84.8 za 25</t>
  </si>
  <si>
    <t>Délka</t>
  </si>
  <si>
    <t>m</t>
  </si>
  <si>
    <t>Šířka</t>
  </si>
  <si>
    <t>mm</t>
  </si>
  <si>
    <t>1038</t>
  </si>
  <si>
    <t>Month</t>
  </si>
  <si>
    <t>E_d</t>
  </si>
  <si>
    <t>E_m</t>
  </si>
  <si>
    <t>Systém na fasádě, roční data [kWh]</t>
  </si>
  <si>
    <t>Střešní systém, roční data [kWh]</t>
  </si>
  <si>
    <t>Celková instalace, roční data [kWh]</t>
  </si>
  <si>
    <t>00:00</t>
  </si>
  <si>
    <t>01:00</t>
  </si>
  <si>
    <t>02:00</t>
  </si>
  <si>
    <t>03:00</t>
  </si>
  <si>
    <t>04:00</t>
  </si>
  <si>
    <t>05:00</t>
  </si>
  <si>
    <t>06:00</t>
  </si>
  <si>
    <t>07:00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</si>
  <si>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</si>
  <si>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</si>
  <si>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</si>
  <si>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</si>
  <si>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</si>
  <si>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</si>
  <si>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</si>
  <si>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</si>
  <si>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</si>
  <si>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</si>
  <si>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</si>
  <si>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</si>
  <si>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</si>
  <si>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</si>
  <si>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</si>
  <si>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23:00</t>
  </si>
  <si>
    <t>Hodina</t>
  </si>
  <si>
    <t>W/m2</t>
  </si>
  <si>
    <t>kWh</t>
  </si>
  <si>
    <t>Střešní systém lednový den</t>
  </si>
  <si>
    <t>Systém na fasádě lednový den</t>
  </si>
  <si>
    <t>Celý systém lednový den</t>
  </si>
  <si>
    <t>Střešní systém dubnový den</t>
  </si>
  <si>
    <t>Systém na fasádě dubnový den</t>
  </si>
  <si>
    <t>Celý systém dubnový den</t>
  </si>
  <si>
    <t>Celý systém srpnový den</t>
  </si>
  <si>
    <t>Spotřeba energie</t>
  </si>
  <si>
    <t>Rozdíl</t>
  </si>
  <si>
    <t>Akumulace</t>
  </si>
  <si>
    <t>Výhřevnost pelet</t>
  </si>
  <si>
    <t>MJ/kg</t>
  </si>
  <si>
    <t>MWh/kg</t>
  </si>
  <si>
    <t>Množství pelet</t>
  </si>
  <si>
    <t>Měrná cena za pelety</t>
  </si>
  <si>
    <t>Celková cena za pelety</t>
  </si>
  <si>
    <t>Množství práce</t>
  </si>
  <si>
    <t>h</t>
  </si>
  <si>
    <t>Měrná cena práce</t>
  </si>
  <si>
    <t>Celková cena za práci</t>
  </si>
  <si>
    <t>Celková cena za elektřinu</t>
  </si>
  <si>
    <t>Výměna litinových radiátorů za třídeskové radiátory</t>
  </si>
  <si>
    <t>2.7 - 13</t>
  </si>
  <si>
    <t>Sezónní topný faktor</t>
  </si>
  <si>
    <t>4.84</t>
  </si>
  <si>
    <t>130</t>
  </si>
  <si>
    <t>Hladina akustického výkonu</t>
  </si>
  <si>
    <t>dB</t>
  </si>
  <si>
    <t>57</t>
  </si>
  <si>
    <t>Bez dotace</t>
  </si>
  <si>
    <t>S dotací</t>
  </si>
  <si>
    <t>Bez zateplení, bez FV systému</t>
  </si>
  <si>
    <t>Energie dodaná kotlem</t>
  </si>
  <si>
    <t>Účinnost přeměny</t>
  </si>
  <si>
    <t>Kč/h</t>
  </si>
  <si>
    <t>Kč/MWh</t>
  </si>
  <si>
    <t>NPV</t>
  </si>
  <si>
    <t>RCF</t>
  </si>
  <si>
    <t>Bez zateplení, s FV systémem</t>
  </si>
  <si>
    <t>Roční provozní výdaje</t>
  </si>
  <si>
    <t>Dez dotace</t>
  </si>
  <si>
    <t>Zatepleno, bez FV systému</t>
  </si>
  <si>
    <t>Zatepleno, s FV systémem</t>
  </si>
  <si>
    <t>Varianta</t>
  </si>
  <si>
    <t>Podpůrný systém</t>
  </si>
  <si>
    <t>žádný</t>
  </si>
  <si>
    <t>FV systém</t>
  </si>
  <si>
    <t>Zateplení</t>
  </si>
  <si>
    <t>FV systém a zateplení</t>
  </si>
  <si>
    <t>Kotel na dřevěné pelety</t>
  </si>
  <si>
    <t>Varianta bez dotace</t>
  </si>
  <si>
    <t>Varianta s dotací</t>
  </si>
  <si>
    <t>Tepelné čerpadlo</t>
  </si>
  <si>
    <t>Solární systém</t>
  </si>
  <si>
    <t>Teplotní spád:</t>
  </si>
  <si>
    <t>Kotel ATMOS D 14 P</t>
  </si>
  <si>
    <t>Cena [tis. Kč]</t>
  </si>
  <si>
    <t>Tepelné čerpadlo IVT AIR X 90</t>
  </si>
  <si>
    <t>Příplatek za zásobník TVs kombinovaným ohřevem</t>
  </si>
  <si>
    <t>Střešní systém červnový den</t>
  </si>
  <si>
    <t>Systém na fasádě červnový den</t>
  </si>
  <si>
    <t>Cena za dodávku NT</t>
  </si>
  <si>
    <t>Cena za dodávku VT</t>
  </si>
  <si>
    <t>Cena za distribuci NT</t>
  </si>
  <si>
    <t>Cena za distribuci VT</t>
  </si>
  <si>
    <t>Platba za jistič</t>
  </si>
  <si>
    <t>Kč/měsíc</t>
  </si>
  <si>
    <t>Daň z elektřiny</t>
  </si>
  <si>
    <t>Cena za sys. Služby</t>
  </si>
  <si>
    <t>Cena za činnost operátora</t>
  </si>
  <si>
    <t>Podpora OZE dle spotřeby</t>
  </si>
  <si>
    <t>Podpora OZE dle jističe</t>
  </si>
  <si>
    <t>Položka</t>
  </si>
  <si>
    <t>D25d</t>
  </si>
  <si>
    <t>D57d</t>
  </si>
  <si>
    <t>Chemická energie v peletách</t>
  </si>
  <si>
    <t>t</t>
  </si>
  <si>
    <t>Kč/t</t>
  </si>
  <si>
    <t>tis. Kč</t>
  </si>
  <si>
    <t>Druh energie:</t>
  </si>
  <si>
    <t>Na vytápění objektu</t>
  </si>
  <si>
    <t>Dodaná kotlem</t>
  </si>
  <si>
    <t>Dodaná elektřinou</t>
  </si>
  <si>
    <t>Ostatní spotřebiče NT</t>
  </si>
  <si>
    <t>Ohřev vody elektřinou v NT</t>
  </si>
  <si>
    <t>Ostatní spotřebiče VT</t>
  </si>
  <si>
    <t>Celkem NT</t>
  </si>
  <si>
    <t>Poplatky za distribuci</t>
  </si>
  <si>
    <t>Měsíční poplatky celkem ročně</t>
  </si>
  <si>
    <t>Daň z el., sys. Služby, podpora oze</t>
  </si>
  <si>
    <t>Cena silové elektřiny v NT</t>
  </si>
  <si>
    <t>Cena silové elektřiny ve VT</t>
  </si>
  <si>
    <t>NPV [tis. Kč]</t>
  </si>
  <si>
    <t>RCF [Kč]</t>
  </si>
  <si>
    <t>Dodaná FV systémem</t>
  </si>
  <si>
    <t>Spotřebiče VT</t>
  </si>
  <si>
    <t>Spotřebiče NT</t>
  </si>
  <si>
    <t>Korekční faktor</t>
  </si>
  <si>
    <t>Dodaná ze sítě NT</t>
  </si>
  <si>
    <t>Dodaná ze sítě VT</t>
  </si>
  <si>
    <t>Celkem VT</t>
  </si>
  <si>
    <t>RCF [tis. Kč]</t>
  </si>
  <si>
    <t>Na vyt. objektu</t>
  </si>
  <si>
    <t>Dodaná FV sys.</t>
  </si>
  <si>
    <t>Spotř. VT</t>
  </si>
  <si>
    <t>Spotř. NT</t>
  </si>
  <si>
    <t>Dod. NT</t>
  </si>
  <si>
    <t>Dod. VT</t>
  </si>
  <si>
    <t>TF</t>
  </si>
  <si>
    <t>Teplota</t>
  </si>
  <si>
    <t>KF</t>
  </si>
  <si>
    <t>Zatepleno, FV systém</t>
  </si>
  <si>
    <t>El. pro pohon TČ</t>
  </si>
  <si>
    <t>Veličina:</t>
  </si>
  <si>
    <t>Na ohřev vody TČ</t>
  </si>
  <si>
    <t>Dohřev</t>
  </si>
  <si>
    <t>$E_{V}$</t>
  </si>
  <si>
    <t>$E_{Ov}$</t>
  </si>
  <si>
    <t>$TF$</t>
  </si>
  <si>
    <t>$E_{D}$</t>
  </si>
  <si>
    <t>$E_{TC}$</t>
  </si>
  <si>
    <t>$E_{FV}$</t>
  </si>
  <si>
    <t>$E_{SVT}$</t>
  </si>
  <si>
    <t>$E_{SNT}$</t>
  </si>
  <si>
    <t>$E_{DNT}$</t>
  </si>
  <si>
    <t>$E_{DVT}$</t>
  </si>
  <si>
    <t>[tis. Kč]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</si>
</sst>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Kč&quot;;[Red]\-#,##0.00\ &quot;Kč&quot;"/>
    <numFmt numFmtId="164" formatCode="0.000"/>
    <numFmt numFmtId="165" formatCode="0.0"/>
  </numFmts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4" fillId="0" borderId="0" applyFont="0" applyFill="0" applyBorder="0" applyAlignment="0" applyProtection="0"/>
  </cellStyleXfs>
  <cellXfs count="44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49" fontId="0" fillId="0" borderId="0" xfId="0" applyNumberFormat="1"/>
    <xf numFmtId="49" fontId="0" fillId="0" borderId="1" xfId="0" applyNumberFormat="1" applyBorder="1"/>
    <xf numFmtId="0" fontId="0" fillId="0" borderId="3" xfId="0" applyBorder="1"/>
    <xf numFmtId="0" fontId="0" fillId="0" borderId="3" xfId="0" applyFill="1" applyBorder="1"/>
    <xf numFmtId="0" fontId="0" fillId="0" borderId="3" xfId="0" applyFont="1" applyFill="1" applyBorder="1"/>
    <xf numFmtId="0" fontId="0" fillId="0" borderId="3" xfId="0" applyNumberFormat="1" applyFont="1" applyFill="1" applyBorder="1"/>
    <xf numFmtId="49" fontId="0" fillId="0" borderId="3" xfId="0" applyNumberFormat="1" applyBorder="1"/>
    <xf numFmtId="0" fontId="2" fillId="0" borderId="3" xfId="1" applyBorder="1"/>
    <xf numFmtId="0" fontId="2" fillId="0" borderId="0" xfId="1"/>
    <xf numFmtId="0" fontId="3" fillId="0" borderId="3" xfId="1" applyFont="1" applyBorder="1"/>
    <xf numFmtId="0" fontId="2" fillId="0" borderId="4" xfId="1" applyFill="1" applyBorder="1"/>
    <xf numFmtId="0" fontId="0" fillId="0" borderId="3" xfId="0" applyNumberFormat="1" applyFill="1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/>
    <xf numFmtId="3" fontId="0" fillId="0" borderId="3" xfId="0" applyNumberFormat="1" applyFont="1" applyFill="1" applyBorder="1"/>
    <xf numFmtId="0" fontId="0" fillId="0" borderId="0" xfId="0" applyFont="1" applyFill="1" applyBorder="1"/>
    <xf numFmtId="0" fontId="0" fillId="0" borderId="0" xfId="0" applyNumberFormat="1" applyFont="1" applyFill="1" applyBorder="1"/>
    <xf numFmtId="164" fontId="0" fillId="0" borderId="0" xfId="0" applyNumberFormat="1"/>
    <xf numFmtId="164" fontId="0" fillId="0" borderId="3" xfId="0" applyNumberFormat="1" applyBorder="1"/>
    <xf numFmtId="2" fontId="0" fillId="0" borderId="3" xfId="0" applyNumberFormat="1" applyBorder="1"/>
    <xf numFmtId="2" fontId="0" fillId="0" borderId="0" xfId="0" applyNumberFormat="1" applyBorder="1"/>
    <xf numFmtId="11" fontId="0" fillId="0" borderId="3" xfId="0" applyNumberFormat="1" applyBorder="1"/>
    <xf numFmtId="164" fontId="0" fillId="0" borderId="0" xfId="0" applyNumberFormat="1" applyBorder="1"/>
    <xf numFmtId="0" fontId="0" fillId="0" borderId="0" xfId="0" applyAlignment="1"/>
    <xf numFmtId="1" fontId="0" fillId="0" borderId="3" xfId="0" applyNumberFormat="1" applyBorder="1"/>
    <xf numFmtId="3" fontId="0" fillId="0" borderId="3" xfId="0" applyNumberFormat="1" applyBorder="1"/>
    <xf numFmtId="0" fontId="0" fillId="0" borderId="3" xfId="2" applyNumberFormat="1" applyFont="1" applyBorder="1"/>
    <xf numFmtId="165" fontId="0" fillId="0" borderId="3" xfId="0" applyNumberFormat="1" applyBorder="1"/>
    <xf numFmtId="8" fontId="0" fillId="0" borderId="0" xfId="0" applyNumberFormat="1" applyBorder="1"/>
    <xf numFmtId="1" fontId="0" fillId="0" borderId="0" xfId="0" applyNumberFormat="1" applyBorder="1"/>
    <xf numFmtId="8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Normální" xfId="0" builtinId="0"/>
    <cellStyle name="Normální 2" xfId="1" xr:uid="{B105A4DE-9A8D-426F-96FB-D4E7A12F6362}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strRef>
              <c:f>'Seznam spotřebičů, zatížení'!$N$9:$N$20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'Seznam spotřebičů, zatížení'!$U$9:$U$20</c:f>
              <c:numCache>
                <c:formatCode>General</c:formatCode>
                <c:ptCount val="12"/>
                <c:pt idx="0">
                  <c:v>0.71692878883078448</c:v>
                </c:pt>
                <c:pt idx="1">
                  <c:v>0.71138450188859026</c:v>
                </c:pt>
                <c:pt idx="2">
                  <c:v>0.70756085572155947</c:v>
                </c:pt>
                <c:pt idx="3">
                  <c:v>0.68829530535799899</c:v>
                </c:pt>
                <c:pt idx="4">
                  <c:v>0.65913213774010315</c:v>
                </c:pt>
                <c:pt idx="5">
                  <c:v>0.6537790331062604</c:v>
                </c:pt>
                <c:pt idx="6">
                  <c:v>0.64995538693922972</c:v>
                </c:pt>
                <c:pt idx="7">
                  <c:v>0.6703241683729555</c:v>
                </c:pt>
                <c:pt idx="8">
                  <c:v>0.68863380719475831</c:v>
                </c:pt>
                <c:pt idx="9">
                  <c:v>0.69761937568728005</c:v>
                </c:pt>
                <c:pt idx="10">
                  <c:v>0.70756085572155947</c:v>
                </c:pt>
                <c:pt idx="11">
                  <c:v>0.71482578343891778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2-4303-B49C-97AD6CCD7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Spotřeba</a:t>
                </a:r>
                <a:r>
                  <a:rPr lang="cs-CZ" baseline="0">
                    <a:solidFill>
                      <a:schemeClr val="tx1"/>
                    </a:solidFill>
                  </a:rPr>
                  <a:t> elektrické energie [MWh]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strRef>
              <c:f>'Seznam spotřebičů, zatížení'!$N$9:$N$20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'Seznam spotřebičů, zatížení'!$P$29:$P$40</c:f>
              <c:numCache>
                <c:formatCode>General</c:formatCode>
                <c:ptCount val="12"/>
                <c:pt idx="0">
                  <c:v>6.8527381912556304</c:v>
                </c:pt>
                <c:pt idx="1">
                  <c:v>5.8865437448441211</c:v>
                </c:pt>
                <c:pt idx="2">
                  <c:v>5.2202027473189432</c:v>
                </c:pt>
                <c:pt idx="3">
                  <c:v>3.554350253505997</c:v>
                </c:pt>
                <c:pt idx="4">
                  <c:v>1.8551807098167929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1.9218148095693104</c:v>
                </c:pt>
                <c:pt idx="9">
                  <c:v>3.4877161537534791</c:v>
                </c:pt>
                <c:pt idx="10">
                  <c:v>5.2202027473189432</c:v>
                </c:pt>
                <c:pt idx="11">
                  <c:v>6.4862506426167794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91-40E5-84B6-66FB66EF4B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Energie spotřebovaná na vytápění objektu [MWh]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strRef>
              <c:f>'Seznam spotřebičů, zatížení'!$N$9:$N$20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</c:v>
                </c:pt>
                <c:pt idx="4">
                  <c:v>Květen</c:v>
                </c:pt>
                <c:pt idx="5">
                  <c:v>Červen</c:v>
                </c:pt>
                <c:pt idx="6">
                  <c:v>Červenec</c:v>
                </c:pt>
                <c:pt idx="7">
                  <c:v>Srpen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'Seznam spotřebičů, zatížení'!$R$9:$R$20</c:f>
              <c:numCache>
                <c:formatCode>General</c:formatCode>
                <c:ptCount val="12"/>
                <c:pt idx="0">
                  <c:v>0.34111185164323282</c:v>
                </c:pt>
                <c:pt idx="1">
                  <c:v>0.33539988121016645</c:v>
                </c:pt>
                <c:pt idx="2">
                  <c:v>0.33146059125632749</c:v>
                </c:pt>
                <c:pt idx="3">
                  <c:v>0.32161236637173019</c:v>
                </c:pt>
                <c:pt idx="4">
                  <c:v>0.31156717698944103</c:v>
                </c:pt>
                <c:pt idx="5">
                  <c:v>0.30605217105406662</c:v>
                </c:pt>
                <c:pt idx="6">
                  <c:v>0.30211288110022766</c:v>
                </c:pt>
                <c:pt idx="7">
                  <c:v>0.30309770358868743</c:v>
                </c:pt>
                <c:pt idx="8">
                  <c:v>0.3119611059848249</c:v>
                </c:pt>
                <c:pt idx="9">
                  <c:v>0.32121843737634631</c:v>
                </c:pt>
                <c:pt idx="10">
                  <c:v>0.33146059125632749</c:v>
                </c:pt>
                <c:pt idx="11">
                  <c:v>0.33894524216862143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AF-41F4-B7A2-D9813A7E00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  <c:min val="0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Energie</a:t>
                </a:r>
                <a:r>
                  <a:rPr lang="cs-CZ" baseline="0">
                    <a:solidFill>
                      <a:schemeClr val="tx1"/>
                    </a:solidFill>
                  </a:rPr>
                  <a:t> spotřebovaná na ohřev vody [MWh]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strRef>
              <c:f>'Seznam spotřebičů, zatížení'!$G$27:$G$30</c:f>
              <c:strCache>
                <c:ptCount val="4"/>
                <c:pt idx="0">
                  <c:v>Energie dodaná na vytápění</c:v>
                </c:pt>
                <c:pt idx="1">
                  <c:v>Elektrická energie ostatní</c:v>
                </c:pt>
                <c:pt idx="2">
                  <c:v>Energie dodaná na ohřev vody</c:v>
                </c:pt>
                <c:pt idx="3">
                  <c:v>Energie dodaná na vaření</c:v>
                </c:pt>
              </c:strCache>
            </c:strRef>
          </c:cat>
          <c:val>
            <c:numRef>
              <c:f>'Seznam spotřebičů, zatížení'!$H$27:$H$30</c:f>
              <c:numCache>
                <c:formatCode>General</c:formatCode>
                <c:ptCount val="4"/>
                <c:pt idx="0">
                  <c:v>40.484999999999999</c:v>
                </c:pt>
                <c:pt idx="1">
                  <c:v>4.1600000000000019</c:v>
                </c:pt>
                <c:pt idx="2">
                  <c:v>3.8559999999999999</c:v>
                </c:pt>
                <c:pt idx="3">
                  <c:v>0.53800000000000003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98-4000-809C-117759F6C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Energie dodaná do objektu [MWh]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'Seznam spotřebičů, zatížení'!$N$61:$N$84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numRef>
              <c:f>'Seznam spotřebičů, zatížení'!$N$61:$N$84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'Seznam spotřebičů, zatížení'!$Q$61:$Q$84</c:f>
              <c:numCache>
                <c:formatCode>General</c:formatCode>
                <c:ptCount val="24"/>
                <c:pt idx="0">
                  <c:v>0.17504424778761046</c:v>
                </c:pt>
                <c:pt idx="1">
                  <c:v>2.3750442477876108</c:v>
                </c:pt>
                <c:pt idx="2">
                  <c:v>2.3750442477876108</c:v>
                </c:pt>
                <c:pt idx="3">
                  <c:v>2.3750442477876108</c:v>
                </c:pt>
                <c:pt idx="4">
                  <c:v>2.3750442477876108</c:v>
                </c:pt>
                <c:pt idx="5">
                  <c:v>2.9001769911504418</c:v>
                </c:pt>
                <c:pt idx="6">
                  <c:v>1.2253097345132731</c:v>
                </c:pt>
                <c:pt idx="7">
                  <c:v>0.35008849557522093</c:v>
                </c:pt>
                <c:pt idx="8">
                  <c:v>0.17504424778761046</c:v>
                </c:pt>
                <c:pt idx="9">
                  <c:v>0.52513274336283133</c:v>
                </c:pt>
                <c:pt idx="10">
                  <c:v>0.70017699115044185</c:v>
                </c:pt>
                <c:pt idx="11">
                  <c:v>1.4003539823008837</c:v>
                </c:pt>
                <c:pt idx="12">
                  <c:v>1.7653982300884941</c:v>
                </c:pt>
                <c:pt idx="13">
                  <c:v>1.0502654867256627</c:v>
                </c:pt>
                <c:pt idx="14">
                  <c:v>0.87522123893805226</c:v>
                </c:pt>
                <c:pt idx="15">
                  <c:v>0.52513274336283133</c:v>
                </c:pt>
                <c:pt idx="16">
                  <c:v>1.4003539823008837</c:v>
                </c:pt>
                <c:pt idx="17">
                  <c:v>1.5753982300884941</c:v>
                </c:pt>
                <c:pt idx="18">
                  <c:v>1.7504424778761045</c:v>
                </c:pt>
                <c:pt idx="19">
                  <c:v>1.5753982300884941</c:v>
                </c:pt>
                <c:pt idx="20">
                  <c:v>1.4003539823008837</c:v>
                </c:pt>
                <c:pt idx="21">
                  <c:v>1.2253097345132731</c:v>
                </c:pt>
                <c:pt idx="22">
                  <c:v>0.52513274336283133</c:v>
                </c:pt>
                <c:pt idx="23">
                  <c:v>0.35008849557522093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93-4175-8199-B6B835C7A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Spotřeba elektrické energie za uplynulou hodinu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'Seznam spotřebičů, zatížení'!$N$88:$N$111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numRef>
              <c:f>'Seznam spotřebičů, zatížení'!$N$61:$N$84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'Seznam spotřebičů, zatížení'!$Q$88:$Q$111</c:f>
              <c:numCache>
                <c:formatCode>General</c:formatCode>
                <c:ptCount val="24"/>
                <c:pt idx="0">
                  <c:v>0.10732758620688401</c:v>
                </c:pt>
                <c:pt idx="1">
                  <c:v>2.3073275862068843</c:v>
                </c:pt>
                <c:pt idx="2">
                  <c:v>2.3073275862068843</c:v>
                </c:pt>
                <c:pt idx="3">
                  <c:v>2.3073275862068843</c:v>
                </c:pt>
                <c:pt idx="4">
                  <c:v>2.3073275862068843</c:v>
                </c:pt>
                <c:pt idx="5">
                  <c:v>2.2512931034481882</c:v>
                </c:pt>
                <c:pt idx="6">
                  <c:v>0.751293103448188</c:v>
                </c:pt>
                <c:pt idx="7">
                  <c:v>0.21465517241376803</c:v>
                </c:pt>
                <c:pt idx="8">
                  <c:v>0.10732758620688401</c:v>
                </c:pt>
                <c:pt idx="9">
                  <c:v>0.32198275862065201</c:v>
                </c:pt>
                <c:pt idx="10">
                  <c:v>0.42931034482753605</c:v>
                </c:pt>
                <c:pt idx="11">
                  <c:v>0.8586206896550721</c:v>
                </c:pt>
                <c:pt idx="12">
                  <c:v>1.1559482758619561</c:v>
                </c:pt>
                <c:pt idx="13">
                  <c:v>0.64396551724130402</c:v>
                </c:pt>
                <c:pt idx="14">
                  <c:v>0.53663793103442003</c:v>
                </c:pt>
                <c:pt idx="15">
                  <c:v>0.32198275862065201</c:v>
                </c:pt>
                <c:pt idx="16">
                  <c:v>0.8586206896550721</c:v>
                </c:pt>
                <c:pt idx="17">
                  <c:v>0.96594827586195608</c:v>
                </c:pt>
                <c:pt idx="18">
                  <c:v>1.0732758620688401</c:v>
                </c:pt>
                <c:pt idx="19">
                  <c:v>0.96594827586195608</c:v>
                </c:pt>
                <c:pt idx="20">
                  <c:v>0.8586206896550721</c:v>
                </c:pt>
                <c:pt idx="21">
                  <c:v>0.751293103448188</c:v>
                </c:pt>
                <c:pt idx="22">
                  <c:v>0.32198275862065201</c:v>
                </c:pt>
                <c:pt idx="23">
                  <c:v>0.21465517241376803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88-4062-AC36-AE3511DA14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Spotřeba elektrické energie za uplynulou hodinu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'Seznam spotřebičů, zatížení'!$N$115:$N$138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cat>
            <c:numRef>
              <c:f>'Seznam spotřebičů, zatížení'!$N$61:$N$84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'Seznam spotřebičů, zatížení'!$Q$115:$Q$138</c:f>
              <c:numCache>
                <c:formatCode>General</c:formatCode>
                <c:ptCount val="24"/>
                <c:pt idx="0">
                  <c:v>4.8793103448275817E-2</c:v>
                </c:pt>
                <c:pt idx="1">
                  <c:v>2.2487931034482762</c:v>
                </c:pt>
                <c:pt idx="2">
                  <c:v>2.2487931034482762</c:v>
                </c:pt>
                <c:pt idx="3">
                  <c:v>2.2487931034482762</c:v>
                </c:pt>
                <c:pt idx="4">
                  <c:v>2.2487931034482762</c:v>
                </c:pt>
                <c:pt idx="5">
                  <c:v>1.8415517241379307</c:v>
                </c:pt>
                <c:pt idx="6">
                  <c:v>0.34155172413793067</c:v>
                </c:pt>
                <c:pt idx="7">
                  <c:v>9.7586206896551633E-2</c:v>
                </c:pt>
                <c:pt idx="8">
                  <c:v>4.8793103448275817E-2</c:v>
                </c:pt>
                <c:pt idx="9">
                  <c:v>0.14637931034482743</c:v>
                </c:pt>
                <c:pt idx="10">
                  <c:v>0.19517241379310327</c:v>
                </c:pt>
                <c:pt idx="11">
                  <c:v>0.39034482758620653</c:v>
                </c:pt>
                <c:pt idx="12">
                  <c:v>0.62913793103448235</c:v>
                </c:pt>
                <c:pt idx="13">
                  <c:v>0.29275862068965486</c:v>
                </c:pt>
                <c:pt idx="14">
                  <c:v>0.24396551724137908</c:v>
                </c:pt>
                <c:pt idx="15">
                  <c:v>0.14637931034482743</c:v>
                </c:pt>
                <c:pt idx="16">
                  <c:v>0.39034482758620653</c:v>
                </c:pt>
                <c:pt idx="17">
                  <c:v>0.43913793103448234</c:v>
                </c:pt>
                <c:pt idx="18">
                  <c:v>0.48793103448275815</c:v>
                </c:pt>
                <c:pt idx="19">
                  <c:v>0.43913793103448234</c:v>
                </c:pt>
                <c:pt idx="20">
                  <c:v>0.39034482758620653</c:v>
                </c:pt>
                <c:pt idx="21">
                  <c:v>0.34155172413793067</c:v>
                </c:pt>
                <c:pt idx="22">
                  <c:v>0.14637931034482743</c:v>
                </c:pt>
                <c:pt idx="23">
                  <c:v>9.7586206896551633E-2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8C-42D8-81BE-54F939B92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Spotřeba elektrické energie za uplynulou hodinu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panely'!$G$6:$G$17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panely'!$I$6:$I$17</c:f>
              <c:numCache>
                <c:formatCode>General</c:formatCode>
                <c:ptCount val="12"/>
                <c:pt idx="0">
                  <c:v>127.66</c:v>
                </c:pt>
                <c:pt idx="1">
                  <c:v>197.52</c:v>
                </c:pt>
                <c:pt idx="2">
                  <c:v>327.33</c:v>
                </c:pt>
                <c:pt idx="3">
                  <c:v>444.49</c:v>
                </c:pt>
                <c:pt idx="4">
                  <c:v>451</c:v>
                </c:pt>
                <c:pt idx="5">
                  <c:v>458.21</c:v>
                </c:pt>
                <c:pt idx="6">
                  <c:v>471.9</c:v>
                </c:pt>
                <c:pt idx="7">
                  <c:v>447.11</c:v>
                </c:pt>
                <c:pt idx="8">
                  <c:v>367.97</c:v>
                </c:pt>
                <c:pt idx="9">
                  <c:v>264.94</c:v>
                </c:pt>
                <c:pt idx="10">
                  <c:v>146.47999999999999</c:v>
                </c:pt>
                <c:pt idx="11">
                  <c:v>126.35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81-4AC5-B5B9-D83CC56A0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panely'!$G$6:$G$17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panely'!$I$23:$I$34</c:f>
              <c:numCache>
                <c:formatCode>General</c:formatCode>
                <c:ptCount val="12"/>
                <c:pt idx="0">
                  <c:v>76.14</c:v>
                </c:pt>
                <c:pt idx="1">
                  <c:v>106.22</c:v>
                </c:pt>
                <c:pt idx="2">
                  <c:v>150.58000000000001</c:v>
                </c:pt>
                <c:pt idx="3">
                  <c:v>169.86</c:v>
                </c:pt>
                <c:pt idx="4">
                  <c:v>142.27000000000001</c:v>
                </c:pt>
                <c:pt idx="5">
                  <c:v>133.07</c:v>
                </c:pt>
                <c:pt idx="6">
                  <c:v>141.76</c:v>
                </c:pt>
                <c:pt idx="7">
                  <c:v>158.43</c:v>
                </c:pt>
                <c:pt idx="8">
                  <c:v>160.43</c:v>
                </c:pt>
                <c:pt idx="9">
                  <c:v>138.22999999999999</c:v>
                </c:pt>
                <c:pt idx="10">
                  <c:v>85.86</c:v>
                </c:pt>
                <c:pt idx="11">
                  <c:v>80.959999999999994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42E-9917-9F71794460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panely'!$G$6:$G$17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panely'!$I$41:$I$52</c:f>
              <c:numCache>
                <c:formatCode>General</c:formatCode>
                <c:ptCount val="12"/>
                <c:pt idx="0">
                  <c:v>203.8</c:v>
                </c:pt>
                <c:pt idx="1">
                  <c:v>303.74</c:v>
                </c:pt>
                <c:pt idx="2">
                  <c:v>477.90999999999997</c:v>
                </c:pt>
                <c:pt idx="3">
                  <c:v>614.35</c:v>
                </c:pt>
                <c:pt idx="4">
                  <c:v>593.27</c:v>
                </c:pt>
                <c:pt idx="5">
                  <c:v>591.28</c:v>
                </c:pt>
                <c:pt idx="6">
                  <c:v>613.66</c:v>
                </c:pt>
                <c:pt idx="7">
                  <c:v>605.54</c:v>
                </c:pt>
                <c:pt idx="8">
                  <c:v>528.40000000000009</c:v>
                </c:pt>
                <c:pt idx="9">
                  <c:v>403.16999999999996</c:v>
                </c:pt>
                <c:pt idx="10">
                  <c:v>232.33999999999997</c:v>
                </c:pt>
                <c:pt idx="11">
                  <c:v>207.31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B1-47E2-BF45-A355AC187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Měsíce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panely'!$X$66:$X$89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panely'!$Z$66:$Z$89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7.8778717265204218E-2</c:v>
                </c:pt>
                <c:pt idx="9">
                  <c:v>0.62771585357138127</c:v>
                </c:pt>
                <c:pt idx="10">
                  <c:v>0.95659364616750264</c:v>
                </c:pt>
                <c:pt idx="11">
                  <c:v>1.0608964302063999</c:v>
                </c:pt>
                <c:pt idx="12">
                  <c:v>1.0812300220469937</c:v>
                </c:pt>
                <c:pt idx="13">
                  <c:v>1.0491580512093988</c:v>
                </c:pt>
                <c:pt idx="14">
                  <c:v>0.92870916475727294</c:v>
                </c:pt>
                <c:pt idx="15">
                  <c:v>0.68343485184491737</c:v>
                </c:pt>
                <c:pt idx="16">
                  <c:v>0.11348326293093036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C4-410C-8A1C-7D899122E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panely'!$X$66:$X$89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panely'!$AD$66:$AD$89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3.9299554477385656E-3</c:v>
                </c:pt>
                <c:pt idx="6">
                  <c:v>0.14150281136990461</c:v>
                </c:pt>
                <c:pt idx="7">
                  <c:v>0.47763061240459598</c:v>
                </c:pt>
                <c:pt idx="8">
                  <c:v>1.0459227295004709</c:v>
                </c:pt>
                <c:pt idx="9">
                  <c:v>1.7357966781860243</c:v>
                </c:pt>
                <c:pt idx="10">
                  <c:v>2.2700450575040687</c:v>
                </c:pt>
                <c:pt idx="11">
                  <c:v>2.5637078013643726</c:v>
                </c:pt>
                <c:pt idx="12">
                  <c:v>2.7307653479583096</c:v>
                </c:pt>
                <c:pt idx="13">
                  <c:v>2.6659266587206147</c:v>
                </c:pt>
                <c:pt idx="14">
                  <c:v>2.3572400781692489</c:v>
                </c:pt>
                <c:pt idx="15">
                  <c:v>1.9488887076341266</c:v>
                </c:pt>
                <c:pt idx="16">
                  <c:v>1.4602840816512608</c:v>
                </c:pt>
                <c:pt idx="17">
                  <c:v>0.86215710047978222</c:v>
                </c:pt>
                <c:pt idx="18">
                  <c:v>0.21620237935274028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C1-4428-A036-8B8777CED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'Solární panely'!$X$66:$X$89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tx>
          <c:spPr>
            <a:solidFill>
              <a:schemeClr val="dk1"/>
            </a:solidFill>
            <a:ln w="127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invertIfNegative val="0"/>
          <c:val>
            <c:numRef>
              <c:f>'Solární panely'!$AH$66:$AH$89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0.11943100865296824</c:v>
                </c:pt>
                <c:pt idx="6">
                  <c:v>0.27386506513805914</c:v>
                </c:pt>
                <c:pt idx="7">
                  <c:v>0.62552947408667647</c:v>
                </c:pt>
                <c:pt idx="8">
                  <c:v>1.0827656954631046</c:v>
                </c:pt>
                <c:pt idx="9">
                  <c:v>1.6358705357333152</c:v>
                </c:pt>
                <c:pt idx="10">
                  <c:v>2.0192829014533222</c:v>
                </c:pt>
                <c:pt idx="11">
                  <c:v>2.2740108521198641</c:v>
                </c:pt>
                <c:pt idx="12">
                  <c:v>2.3148202492649079</c:v>
                </c:pt>
                <c:pt idx="13">
                  <c:v>2.3603830472429013</c:v>
                </c:pt>
                <c:pt idx="14">
                  <c:v>2.2098669983223291</c:v>
                </c:pt>
                <c:pt idx="15">
                  <c:v>1.8621584586343265</c:v>
                </c:pt>
                <c:pt idx="16">
                  <c:v>1.4588244312623906</c:v>
                </c:pt>
                <c:pt idx="17">
                  <c:v>0.94736875957683819</c:v>
                </c:pt>
                <c:pt idx="18">
                  <c:v>0.41671902515625581</c:v>
                </c:pt>
                <c:pt idx="19">
                  <c:v>0.10910349789274106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0C-4EEC-8471-2D9A0383DC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Dodaná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Energie získaná z fotovoltaického systému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'Solární panely'!$Z$66:$Z$89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7.8778717265204218E-2</c:v>
                </c:pt>
                <c:pt idx="9">
                  <c:v>0.62771585357138127</c:v>
                </c:pt>
                <c:pt idx="10">
                  <c:v>0.95659364616750264</c:v>
                </c:pt>
                <c:pt idx="11">
                  <c:v>1.0608964302063999</c:v>
                </c:pt>
                <c:pt idx="12">
                  <c:v>1.0812300220469937</c:v>
                </c:pt>
                <c:pt idx="13">
                  <c:v>1.0491580512093988</c:v>
                </c:pt>
                <c:pt idx="14">
                  <c:v>0.92870916475727294</c:v>
                </c:pt>
                <c:pt idx="15">
                  <c:v>0.68343485184491737</c:v>
                </c:pt>
                <c:pt idx="16">
                  <c:v>0.11348326293093036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D2-4C19-A4C1-E1A27C6BD07E}"/>
            </c:ext>
          </c:extLst>
        </c:ser>
        <c:ser>
          <c:idx val="1"/>
          <c:order val="1"/>
          <c:tx>
            <c:v>Energie spotřebovaná objektem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'Solární panely'!$AL$66:$AL$89</c:f>
              <c:numCache>
                <c:formatCode>General</c:formatCode>
                <c:ptCount val="24"/>
                <c:pt idx="0">
                  <c:v>0.17504424778761046</c:v>
                </c:pt>
                <c:pt idx="1">
                  <c:v>0.17504424778761046</c:v>
                </c:pt>
                <c:pt idx="2">
                  <c:v>0.17504424778761046</c:v>
                </c:pt>
                <c:pt idx="3">
                  <c:v>0.17504424778761046</c:v>
                </c:pt>
                <c:pt idx="4">
                  <c:v>0.17504424778761046</c:v>
                </c:pt>
                <c:pt idx="5">
                  <c:v>0.17504424778761046</c:v>
                </c:pt>
                <c:pt idx="6">
                  <c:v>0.4</c:v>
                </c:pt>
                <c:pt idx="7">
                  <c:v>0.35008849557522093</c:v>
                </c:pt>
                <c:pt idx="8">
                  <c:v>0.17504424778761046</c:v>
                </c:pt>
                <c:pt idx="9">
                  <c:v>0.52513274336283133</c:v>
                </c:pt>
                <c:pt idx="10">
                  <c:v>0.70017699115044185</c:v>
                </c:pt>
                <c:pt idx="11">
                  <c:v>1.4003539823008837</c:v>
                </c:pt>
                <c:pt idx="12">
                  <c:v>1.7653982300884941</c:v>
                </c:pt>
                <c:pt idx="13">
                  <c:v>1.0502654867256627</c:v>
                </c:pt>
                <c:pt idx="14">
                  <c:v>0.87522123893805226</c:v>
                </c:pt>
                <c:pt idx="15">
                  <c:v>0.52513274336283133</c:v>
                </c:pt>
                <c:pt idx="16">
                  <c:v>1.4003539823008837</c:v>
                </c:pt>
                <c:pt idx="17">
                  <c:v>1.5753982300884941</c:v>
                </c:pt>
                <c:pt idx="18">
                  <c:v>1.7504424778761045</c:v>
                </c:pt>
                <c:pt idx="19">
                  <c:v>1.5753982300884941</c:v>
                </c:pt>
                <c:pt idx="20">
                  <c:v>1.4003539823008837</c:v>
                </c:pt>
                <c:pt idx="21">
                  <c:v>1.2253097345132731</c:v>
                </c:pt>
                <c:pt idx="22">
                  <c:v>0.52513274336283133</c:v>
                </c:pt>
                <c:pt idx="23">
                  <c:v>0.35008849557522093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D2-4C19-A4C1-E1A27C6BD07E}"/>
            </c:ext>
          </c:extLst>
        </c:ser>
        <c:ser>
          <c:idx val="2"/>
          <c:order val="2"/>
          <c:tx>
            <c:v>Rozdíl získané a spotřebované energie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'Solární panely'!$AM$66:$AM$89</c:f>
              <c:numCache>
                <c:formatCode>General</c:formatCode>
                <c:ptCount val="24"/>
                <c:pt idx="0">
                  <c:v>-0.17504424778761046</c:v>
                </c:pt>
                <c:pt idx="1">
                  <c:v>-0.17504424778761046</c:v>
                </c:pt>
                <c:pt idx="2">
                  <c:v>-0.17504424778761046</c:v>
                </c:pt>
                <c:pt idx="3">
                  <c:v>-0.17504424778761046</c:v>
                </c:pt>
                <c:pt idx="4">
                  <c:v>-0.17504424778761046</c:v>
                </c:pt>
                <c:pt idx="5">
                  <c:v>-0.17504424778761046</c:v>
                </c:pt>
                <c:pt idx="6">
                  <c:v>-0.4</c:v>
                </c:pt>
                <c:pt idx="7">
                  <c:v>-0.35008849557522093</c:v>
                </c:pt>
                <c:pt idx="8">
                  <c:v>-9.6265530522406245E-2</c:v>
                </c:pt>
                <c:pt idx="9">
                  <c:v>0.10258311020854993</c:v>
                </c:pt>
                <c:pt idx="10">
                  <c:v>0.25641665501706079</c:v>
                </c:pt>
                <c:pt idx="11">
                  <c:v>-0.33945755209448381</c:v>
                </c:pt>
                <c:pt idx="12">
                  <c:v>-0.68416820804150036</c:v>
                </c:pt>
                <c:pt idx="13">
                  <c:v>-1.1074355162639105E-3</c:v>
                </c:pt>
                <c:pt idx="14">
                  <c:v>5.3487925819220683E-2</c:v>
                </c:pt>
                <c:pt idx="15">
                  <c:v>0.15830210848208603</c:v>
                </c:pt>
                <c:pt idx="16">
                  <c:v>-1.2868707193699533</c:v>
                </c:pt>
                <c:pt idx="17">
                  <c:v>-1.5753982300884941</c:v>
                </c:pt>
                <c:pt idx="18">
                  <c:v>-1.7504424778761045</c:v>
                </c:pt>
                <c:pt idx="19">
                  <c:v>-1.5753982300884941</c:v>
                </c:pt>
                <c:pt idx="20">
                  <c:v>-1.4003539823008837</c:v>
                </c:pt>
                <c:pt idx="21">
                  <c:v>-1.2253097345132731</c:v>
                </c:pt>
                <c:pt idx="22">
                  <c:v>-0.52513274336283133</c:v>
                </c:pt>
                <c:pt idx="23">
                  <c:v>-0.35008849557522093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D2-4C19-A4C1-E1A27C6BD07E}"/>
            </c:ext>
          </c:extLst>
        </c:ser>
        <c:ser>
          <c:idx val="3"/>
          <c:order val="3"/>
          <c:tx>
            <c:v>Akumulovaná energie (1:10)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'Solární panely'!$AO$66:$AO$89</c:f>
              <c:numCache>
                <c:formatCode>General</c:formatCode>
                <c:ptCount val="24"/>
                <c:pt idx="0">
                  <c:v>-1.7504424778761046E-2</c:v>
                </c:pt>
                <c:pt idx="1">
                  <c:v>-3.5008849557522093E-2</c:v>
                </c:pt>
                <c:pt idx="2">
                  <c:v>-5.2513274336283146E-2</c:v>
                </c:pt>
                <c:pt idx="3">
                  <c:v>-7.0017699115044185E-2</c:v>
                </c:pt>
                <c:pt idx="4">
                  <c:v>-8.7522123893805231E-2</c:v>
                </c:pt>
                <c:pt idx="5">
                  <c:v>-0.10502654867256626</c:v>
                </c:pt>
                <c:pt idx="6">
                  <c:v>-0.14502654867256629</c:v>
                </c:pt>
                <c:pt idx="7">
                  <c:v>-0.18003539823008835</c:v>
                </c:pt>
                <c:pt idx="8">
                  <c:v>-0.18966195128232899</c:v>
                </c:pt>
                <c:pt idx="9">
                  <c:v>-0.17940364026147398</c:v>
                </c:pt>
                <c:pt idx="10">
                  <c:v>-0.15376197475976791</c:v>
                </c:pt>
                <c:pt idx="11">
                  <c:v>-0.18770772996921631</c:v>
                </c:pt>
                <c:pt idx="12">
                  <c:v>-0.25612455077336638</c:v>
                </c:pt>
                <c:pt idx="13">
                  <c:v>-0.25623529432499276</c:v>
                </c:pt>
                <c:pt idx="14">
                  <c:v>-0.2508865017430707</c:v>
                </c:pt>
                <c:pt idx="15">
                  <c:v>-0.23505629089486207</c:v>
                </c:pt>
                <c:pt idx="16">
                  <c:v>-0.36374336283185743</c:v>
                </c:pt>
                <c:pt idx="17">
                  <c:v>-0.52128318584070688</c:v>
                </c:pt>
                <c:pt idx="18">
                  <c:v>-0.69632743362831728</c:v>
                </c:pt>
                <c:pt idx="19">
                  <c:v>-0.85386725663716678</c:v>
                </c:pt>
                <c:pt idx="20">
                  <c:v>-0.99390265486725515</c:v>
                </c:pt>
                <c:pt idx="21">
                  <c:v>-1.1164336283185823</c:v>
                </c:pt>
                <c:pt idx="22">
                  <c:v>-1.1689469026548656</c:v>
                </c:pt>
                <c:pt idx="23">
                  <c:v>-1.2039557522123876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D2-4C19-A4C1-E1A27C6BD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At val="0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600230747043548"/>
          <c:y val="0.40752308652688318"/>
          <c:w val="0.26275130427742271"/>
          <c:h val="0.34010452104788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Energie získaná z fotovoltaického systému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'Solární panely'!$AD$66:$AD$89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3.9299554477385656E-3</c:v>
                </c:pt>
                <c:pt idx="6">
                  <c:v>0.14150281136990461</c:v>
                </c:pt>
                <c:pt idx="7">
                  <c:v>0.47763061240459598</c:v>
                </c:pt>
                <c:pt idx="8">
                  <c:v>1.0459227295004709</c:v>
                </c:pt>
                <c:pt idx="9">
                  <c:v>1.7357966781860243</c:v>
                </c:pt>
                <c:pt idx="10">
                  <c:v>2.2700450575040687</c:v>
                </c:pt>
                <c:pt idx="11">
                  <c:v>2.5637078013643726</c:v>
                </c:pt>
                <c:pt idx="12">
                  <c:v>2.7307653479583096</c:v>
                </c:pt>
                <c:pt idx="13">
                  <c:v>2.6659266587206147</c:v>
                </c:pt>
                <c:pt idx="14">
                  <c:v>2.3572400781692489</c:v>
                </c:pt>
                <c:pt idx="15">
                  <c:v>1.9488887076341266</c:v>
                </c:pt>
                <c:pt idx="16">
                  <c:v>1.4602840816512608</c:v>
                </c:pt>
                <c:pt idx="17">
                  <c:v>0.86215710047978222</c:v>
                </c:pt>
                <c:pt idx="18">
                  <c:v>0.21620237935274028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3C-4F1A-BDC6-FA221E8DB4FC}"/>
            </c:ext>
          </c:extLst>
        </c:ser>
        <c:ser>
          <c:idx val="1"/>
          <c:order val="1"/>
          <c:tx>
            <c:v>Energie spotřebovaná objektem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'Solární panely'!$AR$66:$AR$89</c:f>
              <c:numCache>
                <c:formatCode>General</c:formatCode>
                <c:ptCount val="24"/>
                <c:pt idx="0">
                  <c:v>0.17504424778761046</c:v>
                </c:pt>
                <c:pt idx="1">
                  <c:v>0.17504424778761046</c:v>
                </c:pt>
                <c:pt idx="2">
                  <c:v>0.17504424778761046</c:v>
                </c:pt>
                <c:pt idx="3">
                  <c:v>0.17504424778761046</c:v>
                </c:pt>
                <c:pt idx="4">
                  <c:v>0.17504424778761046</c:v>
                </c:pt>
                <c:pt idx="5">
                  <c:v>0.17504424778761046</c:v>
                </c:pt>
                <c:pt idx="6">
                  <c:v>0.4</c:v>
                </c:pt>
                <c:pt idx="7">
                  <c:v>0.21465517241376803</c:v>
                </c:pt>
                <c:pt idx="8">
                  <c:v>0.10732758620688401</c:v>
                </c:pt>
                <c:pt idx="9">
                  <c:v>0.32198275862065201</c:v>
                </c:pt>
                <c:pt idx="10">
                  <c:v>0.42931034482753605</c:v>
                </c:pt>
                <c:pt idx="11">
                  <c:v>0.8586206896550721</c:v>
                </c:pt>
                <c:pt idx="12">
                  <c:v>1.1559482758619561</c:v>
                </c:pt>
                <c:pt idx="13">
                  <c:v>0.64396551724130402</c:v>
                </c:pt>
                <c:pt idx="14">
                  <c:v>0.53663793103442003</c:v>
                </c:pt>
                <c:pt idx="15">
                  <c:v>0.32198275862065201</c:v>
                </c:pt>
                <c:pt idx="16">
                  <c:v>0.8586206896550721</c:v>
                </c:pt>
                <c:pt idx="17">
                  <c:v>0.96594827586195608</c:v>
                </c:pt>
                <c:pt idx="18">
                  <c:v>1.0732758620688401</c:v>
                </c:pt>
                <c:pt idx="19">
                  <c:v>0.96594827586195608</c:v>
                </c:pt>
                <c:pt idx="20">
                  <c:v>0.8586206896550721</c:v>
                </c:pt>
                <c:pt idx="21">
                  <c:v>0.751293103448188</c:v>
                </c:pt>
                <c:pt idx="22">
                  <c:v>0.32198275862065201</c:v>
                </c:pt>
                <c:pt idx="23">
                  <c:v>0.21465517241376803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3C-4F1A-BDC6-FA221E8DB4FC}"/>
            </c:ext>
          </c:extLst>
        </c:ser>
        <c:ser>
          <c:idx val="2"/>
          <c:order val="2"/>
          <c:tx>
            <c:v>Rozdíl získané a spotřebované energie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'Solární panely'!$AS$66:$AS$89</c:f>
              <c:numCache>
                <c:formatCode>General</c:formatCode>
                <c:ptCount val="24"/>
                <c:pt idx="0">
                  <c:v>-0.17504424778761046</c:v>
                </c:pt>
                <c:pt idx="1">
                  <c:v>-0.17504424778761046</c:v>
                </c:pt>
                <c:pt idx="2">
                  <c:v>-0.17504424778761046</c:v>
                </c:pt>
                <c:pt idx="3">
                  <c:v>-0.17504424778761046</c:v>
                </c:pt>
                <c:pt idx="4">
                  <c:v>-0.17504424778761046</c:v>
                </c:pt>
                <c:pt idx="5">
                  <c:v>-0.17111429233987191</c:v>
                </c:pt>
                <c:pt idx="6">
                  <c:v>-0.25849718863009541</c:v>
                </c:pt>
                <c:pt idx="7">
                  <c:v>0.26297543999082795</c:v>
                </c:pt>
                <c:pt idx="8">
                  <c:v>0.93859514329358695</c:v>
                </c:pt>
                <c:pt idx="9">
                  <c:v>1.4138139195653723</c:v>
                </c:pt>
                <c:pt idx="10">
                  <c:v>1.8407347126765328</c:v>
                </c:pt>
                <c:pt idx="11">
                  <c:v>1.7050871117093005</c:v>
                </c:pt>
                <c:pt idx="12">
                  <c:v>1.5748170720963535</c:v>
                </c:pt>
                <c:pt idx="13">
                  <c:v>2.0219611414793106</c:v>
                </c:pt>
                <c:pt idx="14">
                  <c:v>1.8206021471348288</c:v>
                </c:pt>
                <c:pt idx="15">
                  <c:v>1.6269059490134745</c:v>
                </c:pt>
                <c:pt idx="16">
                  <c:v>0.60166339199618868</c:v>
                </c:pt>
                <c:pt idx="17">
                  <c:v>-0.10379117538217386</c:v>
                </c:pt>
                <c:pt idx="18">
                  <c:v>-0.85707348271609973</c:v>
                </c:pt>
                <c:pt idx="19">
                  <c:v>-0.96594827586195608</c:v>
                </c:pt>
                <c:pt idx="20">
                  <c:v>-0.8586206896550721</c:v>
                </c:pt>
                <c:pt idx="21">
                  <c:v>-0.751293103448188</c:v>
                </c:pt>
                <c:pt idx="22">
                  <c:v>-0.32198275862065201</c:v>
                </c:pt>
                <c:pt idx="23">
                  <c:v>-0.21465517241376803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3C-4F1A-BDC6-FA221E8DB4FC}"/>
            </c:ext>
          </c:extLst>
        </c:ser>
        <c:ser>
          <c:idx val="3"/>
          <c:order val="3"/>
          <c:tx>
            <c:v>Akumulovaná energie (1:10)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'Solární panely'!$AU$66:$AU$89</c:f>
              <c:numCache>
                <c:formatCode>General</c:formatCode>
                <c:ptCount val="24"/>
                <c:pt idx="0">
                  <c:v>-1.7504424778761046E-2</c:v>
                </c:pt>
                <c:pt idx="1">
                  <c:v>-3.5008849557522093E-2</c:v>
                </c:pt>
                <c:pt idx="2">
                  <c:v>-5.2513274336283146E-2</c:v>
                </c:pt>
                <c:pt idx="3">
                  <c:v>-7.0017699115044185E-2</c:v>
                </c:pt>
                <c:pt idx="4">
                  <c:v>-8.7522123893805231E-2</c:v>
                </c:pt>
                <c:pt idx="5">
                  <c:v>-0.10463355312779241</c:v>
                </c:pt>
                <c:pt idx="6">
                  <c:v>-0.13048327199080195</c:v>
                </c:pt>
                <c:pt idx="7">
                  <c:v>-0.10418572799171917</c:v>
                </c:pt>
                <c:pt idx="8">
                  <c:v>-1.0326213662360473E-2</c:v>
                </c:pt>
                <c:pt idx="9">
                  <c:v>0.13105517829417676</c:v>
                </c:pt>
                <c:pt idx="10">
                  <c:v>0.31512864956183007</c:v>
                </c:pt>
                <c:pt idx="11">
                  <c:v>0.48563736073276009</c:v>
                </c:pt>
                <c:pt idx="12">
                  <c:v>0.64311906794239548</c:v>
                </c:pt>
                <c:pt idx="13">
                  <c:v>0.84531518209032652</c:v>
                </c:pt>
                <c:pt idx="14">
                  <c:v>1.0273753968038093</c:v>
                </c:pt>
                <c:pt idx="15">
                  <c:v>1.1900659917051568</c:v>
                </c:pt>
                <c:pt idx="16">
                  <c:v>1.2502323309047756</c:v>
                </c:pt>
                <c:pt idx="17">
                  <c:v>1.2398532133665583</c:v>
                </c:pt>
                <c:pt idx="18">
                  <c:v>1.1541458650949483</c:v>
                </c:pt>
                <c:pt idx="19">
                  <c:v>1.0575510375087527</c:v>
                </c:pt>
                <c:pt idx="20">
                  <c:v>0.97168896854324538</c:v>
                </c:pt>
                <c:pt idx="21">
                  <c:v>0.89655965819842665</c:v>
                </c:pt>
                <c:pt idx="22">
                  <c:v>0.86436138233636139</c:v>
                </c:pt>
                <c:pt idx="23">
                  <c:v>0.84289586509498471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3C-4F1A-BDC6-FA221E8DB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At val="0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600230747043548"/>
          <c:y val="0.40752308652688318"/>
          <c:w val="0.26275130427742271"/>
          <c:h val="0.34347736714040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Energie získaná z fotovoltaického systému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'Solární panely'!$AH$66:$AH$89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0.11943100865296824</c:v>
                </c:pt>
                <c:pt idx="6">
                  <c:v>0.27386506513805914</c:v>
                </c:pt>
                <c:pt idx="7">
                  <c:v>0.62552947408667647</c:v>
                </c:pt>
                <c:pt idx="8">
                  <c:v>1.0827656954631046</c:v>
                </c:pt>
                <c:pt idx="9">
                  <c:v>1.6358705357333152</c:v>
                </c:pt>
                <c:pt idx="10">
                  <c:v>2.0192829014533222</c:v>
                </c:pt>
                <c:pt idx="11">
                  <c:v>2.2740108521198641</c:v>
                </c:pt>
                <c:pt idx="12">
                  <c:v>2.3148202492649079</c:v>
                </c:pt>
                <c:pt idx="13">
                  <c:v>2.3603830472429013</c:v>
                </c:pt>
                <c:pt idx="14">
                  <c:v>2.2098669983223291</c:v>
                </c:pt>
                <c:pt idx="15">
                  <c:v>1.8621584586343265</c:v>
                </c:pt>
                <c:pt idx="16">
                  <c:v>1.4588244312623906</c:v>
                </c:pt>
                <c:pt idx="17">
                  <c:v>0.94736875957683819</c:v>
                </c:pt>
                <c:pt idx="18">
                  <c:v>0.41671902515625581</c:v>
                </c:pt>
                <c:pt idx="19">
                  <c:v>0.10910349789274106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0E-4F83-873F-2AC1371FB025}"/>
            </c:ext>
          </c:extLst>
        </c:ser>
        <c:ser>
          <c:idx val="1"/>
          <c:order val="1"/>
          <c:tx>
            <c:v>Energie spotřebovaná objektem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'Solární panely'!$AX$66:$AX$89</c:f>
              <c:numCache>
                <c:formatCode>General</c:formatCode>
                <c:ptCount val="24"/>
                <c:pt idx="0">
                  <c:v>4.8793103448275817E-2</c:v>
                </c:pt>
                <c:pt idx="1">
                  <c:v>2.2487931034482762</c:v>
                </c:pt>
                <c:pt idx="2">
                  <c:v>2.2487931034482762</c:v>
                </c:pt>
                <c:pt idx="3">
                  <c:v>2.2487931034482762</c:v>
                </c:pt>
                <c:pt idx="4">
                  <c:v>2.2487931034482762</c:v>
                </c:pt>
                <c:pt idx="5">
                  <c:v>1.8415517241379307</c:v>
                </c:pt>
                <c:pt idx="6">
                  <c:v>0.34155172413793067</c:v>
                </c:pt>
                <c:pt idx="7">
                  <c:v>9.7586206896551633E-2</c:v>
                </c:pt>
                <c:pt idx="8">
                  <c:v>4.8793103448275817E-2</c:v>
                </c:pt>
                <c:pt idx="9">
                  <c:v>0.14637931034482743</c:v>
                </c:pt>
                <c:pt idx="10">
                  <c:v>0.19517241379310327</c:v>
                </c:pt>
                <c:pt idx="11">
                  <c:v>0.39034482758620653</c:v>
                </c:pt>
                <c:pt idx="12">
                  <c:v>0.62913793103448235</c:v>
                </c:pt>
                <c:pt idx="13">
                  <c:v>0.29275862068965486</c:v>
                </c:pt>
                <c:pt idx="14">
                  <c:v>0.24396551724137908</c:v>
                </c:pt>
                <c:pt idx="15">
                  <c:v>0.14637931034482743</c:v>
                </c:pt>
                <c:pt idx="16">
                  <c:v>0.39034482758620653</c:v>
                </c:pt>
                <c:pt idx="17">
                  <c:v>0.43913793103448234</c:v>
                </c:pt>
                <c:pt idx="18">
                  <c:v>0.48793103448275815</c:v>
                </c:pt>
                <c:pt idx="19">
                  <c:v>0.43913793103448234</c:v>
                </c:pt>
                <c:pt idx="20">
                  <c:v>0.39034482758620653</c:v>
                </c:pt>
                <c:pt idx="21">
                  <c:v>0.34155172413793067</c:v>
                </c:pt>
                <c:pt idx="22">
                  <c:v>0.14637931034482743</c:v>
                </c:pt>
                <c:pt idx="23">
                  <c:v>9.7586206896551633E-2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0E-4F83-873F-2AC1371FB025}"/>
            </c:ext>
          </c:extLst>
        </c:ser>
        <c:ser>
          <c:idx val="2"/>
          <c:order val="2"/>
          <c:tx>
            <c:v>Rozdíl získané a spotřebované energie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'Solární panely'!$AY$66:$AY$89</c:f>
              <c:numCache>
                <c:formatCode>General</c:formatCode>
                <c:ptCount val="24"/>
                <c:pt idx="0">
                  <c:v>-4.8793103448275817E-2</c:v>
                </c:pt>
                <c:pt idx="1">
                  <c:v>-2.2487931034482762</c:v>
                </c:pt>
                <c:pt idx="2">
                  <c:v>-2.2487931034482762</c:v>
                </c:pt>
                <c:pt idx="3">
                  <c:v>-2.2487931034482762</c:v>
                </c:pt>
                <c:pt idx="4">
                  <c:v>-2.2487931034482762</c:v>
                </c:pt>
                <c:pt idx="5">
                  <c:v>-1.7221207154849625</c:v>
                </c:pt>
                <c:pt idx="6">
                  <c:v>-6.768665899987153E-2</c:v>
                </c:pt>
                <c:pt idx="7">
                  <c:v>0.52794326719012485</c:v>
                </c:pt>
                <c:pt idx="8">
                  <c:v>1.0339725920148288</c:v>
                </c:pt>
                <c:pt idx="9">
                  <c:v>1.4894912253884878</c:v>
                </c:pt>
                <c:pt idx="10">
                  <c:v>1.824110487660219</c:v>
                </c:pt>
                <c:pt idx="11">
                  <c:v>1.8836660245336576</c:v>
                </c:pt>
                <c:pt idx="12">
                  <c:v>1.6856823182304255</c:v>
                </c:pt>
                <c:pt idx="13">
                  <c:v>2.0676244265532464</c:v>
                </c:pt>
                <c:pt idx="14">
                  <c:v>1.9659014810809501</c:v>
                </c:pt>
                <c:pt idx="15">
                  <c:v>1.7157791482894991</c:v>
                </c:pt>
                <c:pt idx="16">
                  <c:v>1.0684796036761841</c:v>
                </c:pt>
                <c:pt idx="17">
                  <c:v>0.50823082854235579</c:v>
                </c:pt>
                <c:pt idx="18">
                  <c:v>-7.1212009326502346E-2</c:v>
                </c:pt>
                <c:pt idx="19">
                  <c:v>-0.3300344331417413</c:v>
                </c:pt>
                <c:pt idx="20">
                  <c:v>-0.39034482758620653</c:v>
                </c:pt>
                <c:pt idx="21">
                  <c:v>-0.34155172413793067</c:v>
                </c:pt>
                <c:pt idx="22">
                  <c:v>-0.14637931034482743</c:v>
                </c:pt>
                <c:pt idx="23">
                  <c:v>-9.7586206896551633E-2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0E-4F83-873F-2AC1371FB025}"/>
            </c:ext>
          </c:extLst>
        </c:ser>
        <c:ser>
          <c:idx val="3"/>
          <c:order val="3"/>
          <c:tx>
            <c:v>Akumulovaná energie (1:10)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'Solární panely'!$BA$66:$BA$89</c:f>
              <c:numCache>
                <c:formatCode>General</c:formatCode>
                <c:ptCount val="24"/>
                <c:pt idx="0">
                  <c:v>-4.8793103448275818E-3</c:v>
                </c:pt>
                <c:pt idx="1">
                  <c:v>-0.22975862068965522</c:v>
                </c:pt>
                <c:pt idx="2">
                  <c:v>-0.45463793103448291</c:v>
                </c:pt>
                <c:pt idx="3">
                  <c:v>-0.67951724137931058</c:v>
                </c:pt>
                <c:pt idx="4">
                  <c:v>-0.90439655172413824</c:v>
                </c:pt>
                <c:pt idx="5">
                  <c:v>-1.0766086232726344</c:v>
                </c:pt>
                <c:pt idx="6">
                  <c:v>-1.0833772891726217</c:v>
                </c:pt>
                <c:pt idx="7">
                  <c:v>-1.0305829624536091</c:v>
                </c:pt>
                <c:pt idx="8">
                  <c:v>-0.92718570325212624</c:v>
                </c:pt>
                <c:pt idx="9">
                  <c:v>-0.7782365807132775</c:v>
                </c:pt>
                <c:pt idx="10">
                  <c:v>-0.59582553194725563</c:v>
                </c:pt>
                <c:pt idx="11">
                  <c:v>-0.40745892949388984</c:v>
                </c:pt>
                <c:pt idx="12">
                  <c:v>-0.23889069767084731</c:v>
                </c:pt>
                <c:pt idx="13">
                  <c:v>-3.2128255015522675E-2</c:v>
                </c:pt>
                <c:pt idx="14">
                  <c:v>0.16446189309257234</c:v>
                </c:pt>
                <c:pt idx="15">
                  <c:v>0.33603980792152222</c:v>
                </c:pt>
                <c:pt idx="16">
                  <c:v>0.44288776828914067</c:v>
                </c:pt>
                <c:pt idx="17">
                  <c:v>0.49371085114337621</c:v>
                </c:pt>
                <c:pt idx="18">
                  <c:v>0.48658965021072598</c:v>
                </c:pt>
                <c:pt idx="19">
                  <c:v>0.45358620689655182</c:v>
                </c:pt>
                <c:pt idx="20">
                  <c:v>0.41455172413793118</c:v>
                </c:pt>
                <c:pt idx="21">
                  <c:v>0.38039655172413811</c:v>
                </c:pt>
                <c:pt idx="22">
                  <c:v>0.36575862068965537</c:v>
                </c:pt>
                <c:pt idx="23">
                  <c:v>0.35600000000000021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C0E-4F83-873F-2AC1371FB0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6794335"/>
        <c:axId val="1206794751"/>
      </c:barChart>
      <c:catAx>
        <c:axId val="1206794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>
                    <a:solidFill>
                      <a:schemeClr val="tx1"/>
                    </a:solidFill>
                  </a:rPr>
                  <a:t>Hodiny [h]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751"/>
        <c:crosses val="autoZero"/>
        <c:auto val="1"/>
        <c:lblAlgn val="ctr"/>
        <c:lblOffset val="100"/>
        <c:noMultiLvlLbl val="0"/>
      </c:catAx>
      <c:valAx>
        <c:axId val="1206794751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dk1"/>
              </a:solidFill>
              <a:prstDash val="solid"/>
              <a:miter lim="800000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baseline="0">
                    <a:solidFill>
                      <a:schemeClr val="tx1"/>
                    </a:solidFill>
                  </a:rPr>
                  <a:t> Energie [kWh]</a:t>
                </a:r>
                <a:endParaRPr lang="cs-CZ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206794335"/>
        <c:crossesAt val="0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600230747043548"/>
          <c:y val="0.40752308652688318"/>
          <c:w val="0.26275130427742271"/>
          <c:h val="0.329986070407516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216301</xdr:colOff>
      <xdr:row>4</xdr:row>
      <xdr:rowOff>45287</xdr:rowOff>
    </xdr:from>
    <xdr:to>
      <xdr:col>42</xdr:col>
      <xdr:colOff>473848</xdr:colOff>
      <xdr:row>22</xdr:row>
      <xdr:rowOff>179947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7D5258D3-C26A-5DAD-2A82-7EF0A9A535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449034</xdr:colOff>
      <xdr:row>25</xdr:row>
      <xdr:rowOff>68034</xdr:rowOff>
    </xdr:from>
    <xdr:to>
      <xdr:col>47</xdr:col>
      <xdr:colOff>26223</xdr:colOff>
      <xdr:row>43</xdr:row>
      <xdr:rowOff>202694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83585ED6-9FA5-4242-A987-A83260EE8A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42</xdr:col>
      <xdr:colOff>557893</xdr:colOff>
      <xdr:row>3</xdr:row>
      <xdr:rowOff>122465</xdr:rowOff>
    </xdr:from>
    <xdr:to>
      <xdr:col>54</xdr:col>
      <xdr:colOff>135082</xdr:colOff>
      <xdr:row>22</xdr:row>
      <xdr:rowOff>53017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18EEFBDB-A5C8-49D8-B272-53C7D50D19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105656</xdr:colOff>
      <xdr:row>38</xdr:row>
      <xdr:rowOff>104054</xdr:rowOff>
    </xdr:from>
    <xdr:to>
      <xdr:col>11</xdr:col>
      <xdr:colOff>170300</xdr:colOff>
      <xdr:row>54</xdr:row>
      <xdr:rowOff>69825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14A93E0D-CDEA-4BF9-8C0D-62A34C8B47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1401535</xdr:colOff>
      <xdr:row>62</xdr:row>
      <xdr:rowOff>68035</xdr:rowOff>
    </xdr:from>
    <xdr:to>
      <xdr:col>22</xdr:col>
      <xdr:colOff>230332</xdr:colOff>
      <xdr:row>80</xdr:row>
      <xdr:rowOff>202695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668AC8AA-B4C3-4930-88BE-D2E075DE86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1255059</xdr:colOff>
      <xdr:row>91</xdr:row>
      <xdr:rowOff>145678</xdr:rowOff>
    </xdr:from>
    <xdr:to>
      <xdr:col>22</xdr:col>
      <xdr:colOff>83856</xdr:colOff>
      <xdr:row>110</xdr:row>
      <xdr:rowOff>78632</xdr:rowOff>
    </xdr:to>
    <xdr:graphicFrame macro="">
      <xdr:nvGraphicFramePr>
        <xdr:cNvPr id="9" name="Graf 8">
          <a:extLst>
            <a:ext uri="{FF2B5EF4-FFF2-40B4-BE49-F238E27FC236}">
              <a16:creationId xmlns:a16="http://schemas.microsoft.com/office/drawing/2014/main" id="{00A73C47-5999-4028-AE29-CF25B50A8A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1232648</xdr:colOff>
      <xdr:row>117</xdr:row>
      <xdr:rowOff>168089</xdr:rowOff>
    </xdr:from>
    <xdr:to>
      <xdr:col>22</xdr:col>
      <xdr:colOff>61445</xdr:colOff>
      <xdr:row>136</xdr:row>
      <xdr:rowOff>101043</xdr:rowOff>
    </xdr:to>
    <xdr:graphicFrame macro="">
      <xdr:nvGraphicFramePr>
        <xdr:cNvPr id="10" name="Graf 9">
          <a:extLst>
            <a:ext uri="{FF2B5EF4-FFF2-40B4-BE49-F238E27FC236}">
              <a16:creationId xmlns:a16="http://schemas.microsoft.com/office/drawing/2014/main" id="{C4A6F193-E877-43AB-B868-B0CC10A466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358589</xdr:colOff>
      <xdr:row>1</xdr:row>
      <xdr:rowOff>56029</xdr:rowOff>
    </xdr:from>
    <xdr:to>
      <xdr:col>21</xdr:col>
      <xdr:colOff>616134</xdr:colOff>
      <xdr:row>19</xdr:row>
      <xdr:rowOff>190688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B47F3F0D-E502-4826-811C-24E68A9858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358588</xdr:colOff>
      <xdr:row>20</xdr:row>
      <xdr:rowOff>134470</xdr:rowOff>
    </xdr:from>
    <xdr:to>
      <xdr:col>21</xdr:col>
      <xdr:colOff>616133</xdr:colOff>
      <xdr:row>39</xdr:row>
      <xdr:rowOff>67424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5FC978C5-141A-4B29-9996-7EAF98C3D7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313765</xdr:colOff>
      <xdr:row>40</xdr:row>
      <xdr:rowOff>89647</xdr:rowOff>
    </xdr:from>
    <xdr:to>
      <xdr:col>21</xdr:col>
      <xdr:colOff>571310</xdr:colOff>
      <xdr:row>59</xdr:row>
      <xdr:rowOff>22600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A9C042F-E849-48EB-9725-55102D3A2F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280147</xdr:colOff>
      <xdr:row>91</xdr:row>
      <xdr:rowOff>67235</xdr:rowOff>
    </xdr:from>
    <xdr:to>
      <xdr:col>25</xdr:col>
      <xdr:colOff>537693</xdr:colOff>
      <xdr:row>110</xdr:row>
      <xdr:rowOff>188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C43F3B81-3F5E-44ED-813E-23B3734DC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44824</xdr:colOff>
      <xdr:row>91</xdr:row>
      <xdr:rowOff>100854</xdr:rowOff>
    </xdr:from>
    <xdr:to>
      <xdr:col>37</xdr:col>
      <xdr:colOff>44635</xdr:colOff>
      <xdr:row>110</xdr:row>
      <xdr:rowOff>33807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60529440-B52F-4B35-90C5-8F8152F181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310563</xdr:colOff>
      <xdr:row>91</xdr:row>
      <xdr:rowOff>119262</xdr:rowOff>
    </xdr:from>
    <xdr:to>
      <xdr:col>48</xdr:col>
      <xdr:colOff>568109</xdr:colOff>
      <xdr:row>110</xdr:row>
      <xdr:rowOff>52215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20BC362E-B472-420E-8665-25C3A534B8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54</xdr:col>
      <xdr:colOff>272143</xdr:colOff>
      <xdr:row>61</xdr:row>
      <xdr:rowOff>190500</xdr:rowOff>
    </xdr:from>
    <xdr:to>
      <xdr:col>66</xdr:col>
      <xdr:colOff>12617</xdr:colOff>
      <xdr:row>80</xdr:row>
      <xdr:rowOff>123454</xdr:rowOff>
    </xdr:to>
    <xdr:graphicFrame macro="">
      <xdr:nvGraphicFramePr>
        <xdr:cNvPr id="9" name="Graf 8">
          <a:extLst>
            <a:ext uri="{FF2B5EF4-FFF2-40B4-BE49-F238E27FC236}">
              <a16:creationId xmlns:a16="http://schemas.microsoft.com/office/drawing/2014/main" id="{E507D166-740A-4DCD-9DD1-D31CF23F76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54</xdr:col>
      <xdr:colOff>280147</xdr:colOff>
      <xdr:row>81</xdr:row>
      <xdr:rowOff>134472</xdr:rowOff>
    </xdr:from>
    <xdr:to>
      <xdr:col>66</xdr:col>
      <xdr:colOff>20621</xdr:colOff>
      <xdr:row>100</xdr:row>
      <xdr:rowOff>67426</xdr:rowOff>
    </xdr:to>
    <xdr:graphicFrame macro="">
      <xdr:nvGraphicFramePr>
        <xdr:cNvPr id="10" name="Graf 9">
          <a:extLst>
            <a:ext uri="{FF2B5EF4-FFF2-40B4-BE49-F238E27FC236}">
              <a16:creationId xmlns:a16="http://schemas.microsoft.com/office/drawing/2014/main" id="{2D2D01D7-8AEB-49A8-B91C-4DF028C953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54</xdr:col>
      <xdr:colOff>285750</xdr:colOff>
      <xdr:row>101</xdr:row>
      <xdr:rowOff>95251</xdr:rowOff>
    </xdr:from>
    <xdr:to>
      <xdr:col>66</xdr:col>
      <xdr:colOff>26224</xdr:colOff>
      <xdr:row>120</xdr:row>
      <xdr:rowOff>28204</xdr:rowOff>
    </xdr:to>
    <xdr:graphicFrame macro="">
      <xdr:nvGraphicFramePr>
        <xdr:cNvPr id="11" name="Graf 10">
          <a:extLst>
            <a:ext uri="{FF2B5EF4-FFF2-40B4-BE49-F238E27FC236}">
              <a16:creationId xmlns:a16="http://schemas.microsoft.com/office/drawing/2014/main" id="{39FCBF3A-3018-4310-A51C-BFB5B0E28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439A-E6BD-497A-B451-20301D6260E1}">
  <dimension ref="B1:V37"/>
  <sheetViews>
    <sheetView zoomScale="70" zoomScaleNormal="70" workbookViewId="0">
      <selection activeCell="L37" sqref="L37"/>
    </sheetView>
  </sheetViews>
  <sheetFormatPr defaultRowHeight="15.75" x14ac:dyDescent="0.25"/>
  <cols>
    <col min="2" max="2" width="12.75" bestFit="1" customWidth="1"/>
    <col min="3" max="3" width="14.625" bestFit="1" customWidth="1"/>
    <col min="4" max="5" width="14.5" bestFit="1" customWidth="1"/>
    <col min="6" max="6" width="11.125" bestFit="1" customWidth="1"/>
    <col min="8" max="8" width="18.875" bestFit="1" customWidth="1"/>
    <col min="9" max="9" width="14.375" bestFit="1" customWidth="1"/>
    <col min="12" max="12" width="34.125" bestFit="1" customWidth="1"/>
    <col min="18" max="18" width="21.5" bestFit="1" customWidth="1"/>
    <col min="20" max="20" width="13.25" bestFit="1" customWidth="1"/>
  </cols>
  <sheetData>
    <row r="1" spans="2:22" x14ac:dyDescent="0.25">
      <c r="I1" t="s">
        <v>287</v>
      </c>
      <c r="J1">
        <v>18.5</v>
      </c>
      <c r="K1" t="s">
        <v>106</v>
      </c>
    </row>
    <row r="2" spans="2:22" x14ac:dyDescent="0.25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  <c r="H2" s="2" t="s">
        <v>6</v>
      </c>
      <c r="L2" s="2" t="s">
        <v>7</v>
      </c>
      <c r="M2" s="2">
        <v>9</v>
      </c>
      <c r="R2" s="2" t="s">
        <v>8</v>
      </c>
      <c r="S2" s="5" t="s">
        <v>9</v>
      </c>
      <c r="T2" s="5" t="s">
        <v>10</v>
      </c>
      <c r="U2" s="4"/>
      <c r="V2" s="4"/>
    </row>
    <row r="3" spans="2:22" x14ac:dyDescent="0.25">
      <c r="B3" s="2">
        <v>1</v>
      </c>
      <c r="C3" s="2">
        <v>18.420000000000002</v>
      </c>
      <c r="D3" s="2">
        <v>9.4499999999999993</v>
      </c>
      <c r="E3" s="2">
        <v>38.682000000000002</v>
      </c>
      <c r="F3" s="2">
        <v>0.5</v>
      </c>
      <c r="G3" s="2"/>
      <c r="H3" s="2">
        <f>E3*F3*0.34*$J$1</f>
        <v>121.65489000000002</v>
      </c>
      <c r="L3" s="2" t="s">
        <v>11</v>
      </c>
      <c r="M3" s="2">
        <v>20.190000000000001</v>
      </c>
      <c r="R3" s="2" t="s">
        <v>12</v>
      </c>
      <c r="S3" s="5" t="s">
        <v>13</v>
      </c>
      <c r="T3" s="5" t="s">
        <v>14</v>
      </c>
      <c r="U3" s="4"/>
      <c r="V3" s="4"/>
    </row>
    <row r="4" spans="2:22" x14ac:dyDescent="0.25">
      <c r="B4" s="2">
        <v>2</v>
      </c>
      <c r="C4" s="2">
        <v>8.49</v>
      </c>
      <c r="D4" s="2">
        <v>2.1</v>
      </c>
      <c r="E4" s="2">
        <v>17.829000000000001</v>
      </c>
      <c r="F4" s="2">
        <v>0.5</v>
      </c>
      <c r="G4" s="2"/>
      <c r="H4" s="2">
        <f t="shared" ref="H4:H9" si="0">E4*F4*0.34*$J$1</f>
        <v>56.072205000000004</v>
      </c>
      <c r="L4" s="2" t="s">
        <v>15</v>
      </c>
      <c r="M4" s="2">
        <f>M3/3.6</f>
        <v>5.6083333333333334</v>
      </c>
      <c r="R4" s="2" t="s">
        <v>16</v>
      </c>
      <c r="S4" s="5" t="s">
        <v>17</v>
      </c>
      <c r="T4" s="5" t="s">
        <v>18</v>
      </c>
      <c r="U4" s="4"/>
      <c r="V4" s="4"/>
    </row>
    <row r="5" spans="2:22" x14ac:dyDescent="0.25">
      <c r="B5" s="2">
        <v>3</v>
      </c>
      <c r="C5" s="2">
        <v>3.9</v>
      </c>
      <c r="D5" s="2">
        <v>10.185</v>
      </c>
      <c r="E5" s="2">
        <v>8.19</v>
      </c>
      <c r="F5" s="2">
        <v>0.5</v>
      </c>
      <c r="G5" s="2"/>
      <c r="H5" s="2">
        <f t="shared" si="0"/>
        <v>25.757550000000002</v>
      </c>
      <c r="L5" s="2" t="s">
        <v>19</v>
      </c>
      <c r="M5" s="2">
        <f>M4*M2*1000</f>
        <v>50475</v>
      </c>
      <c r="R5" s="2" t="s">
        <v>20</v>
      </c>
      <c r="S5" s="5" t="s">
        <v>21</v>
      </c>
      <c r="T5" s="5" t="s">
        <v>22</v>
      </c>
      <c r="U5" s="4"/>
      <c r="V5" s="4"/>
    </row>
    <row r="6" spans="2:22" x14ac:dyDescent="0.25">
      <c r="B6" s="2">
        <v>4</v>
      </c>
      <c r="C6" s="2">
        <v>8.5299999999999994</v>
      </c>
      <c r="D6" s="2">
        <v>4.62</v>
      </c>
      <c r="E6" s="2">
        <v>17.913</v>
      </c>
      <c r="F6" s="2">
        <v>0.5</v>
      </c>
      <c r="G6" s="2"/>
      <c r="H6" s="2">
        <f t="shared" si="0"/>
        <v>56.336385000000007</v>
      </c>
      <c r="L6" s="2" t="s">
        <v>23</v>
      </c>
      <c r="M6" s="2">
        <v>0.8</v>
      </c>
      <c r="R6" s="2" t="s">
        <v>24</v>
      </c>
      <c r="S6" s="5" t="s">
        <v>25</v>
      </c>
      <c r="T6" s="5" t="s">
        <v>26</v>
      </c>
      <c r="U6" s="4"/>
      <c r="V6" s="4"/>
    </row>
    <row r="7" spans="2:22" x14ac:dyDescent="0.25">
      <c r="B7" s="2">
        <v>5</v>
      </c>
      <c r="C7" s="2">
        <v>7.33</v>
      </c>
      <c r="D7" s="2">
        <v>3.5070000000000001</v>
      </c>
      <c r="E7" s="2">
        <v>15.393000000000001</v>
      </c>
      <c r="F7" s="2">
        <v>0.5</v>
      </c>
      <c r="G7" s="2"/>
      <c r="H7" s="2">
        <f t="shared" si="0"/>
        <v>48.410985000000011</v>
      </c>
      <c r="L7" s="2" t="s">
        <v>27</v>
      </c>
      <c r="M7" s="2">
        <f>M6*M5</f>
        <v>40380</v>
      </c>
      <c r="R7" s="2" t="s">
        <v>28</v>
      </c>
      <c r="S7" s="5" t="s">
        <v>29</v>
      </c>
      <c r="T7" s="5" t="s">
        <v>30</v>
      </c>
      <c r="U7" s="4"/>
      <c r="V7" s="4"/>
    </row>
    <row r="8" spans="2:22" x14ac:dyDescent="0.25">
      <c r="B8" s="2">
        <v>6</v>
      </c>
      <c r="C8" s="2">
        <v>7.21</v>
      </c>
      <c r="D8" s="2">
        <v>3.8849999999999998</v>
      </c>
      <c r="E8" s="2">
        <v>15.141</v>
      </c>
      <c r="F8" s="2">
        <v>0.5</v>
      </c>
      <c r="G8" s="2"/>
      <c r="H8" s="2">
        <f t="shared" si="0"/>
        <v>47.618445000000001</v>
      </c>
      <c r="L8" s="2"/>
      <c r="M8" s="2"/>
      <c r="S8" s="4"/>
      <c r="T8" s="4"/>
      <c r="U8" s="4"/>
      <c r="V8" s="4"/>
    </row>
    <row r="9" spans="2:22" x14ac:dyDescent="0.25">
      <c r="B9" s="2">
        <v>7</v>
      </c>
      <c r="C9" s="2">
        <v>22.56</v>
      </c>
      <c r="D9" s="2">
        <v>19.571999999999999</v>
      </c>
      <c r="E9" s="2">
        <v>47.375999999999998</v>
      </c>
      <c r="F9" s="2">
        <v>0.5</v>
      </c>
      <c r="G9" s="2"/>
      <c r="H9" s="2">
        <f t="shared" si="0"/>
        <v>148.99752000000001</v>
      </c>
      <c r="L9" s="2" t="s">
        <v>31</v>
      </c>
      <c r="M9" s="2">
        <f>M7-0.4*H37</f>
        <v>35769.636312000002</v>
      </c>
    </row>
    <row r="10" spans="2:22" x14ac:dyDescent="0.25">
      <c r="B10" s="2"/>
      <c r="C10" s="2"/>
      <c r="D10" s="2"/>
      <c r="E10" s="2"/>
      <c r="F10" s="2"/>
      <c r="G10" s="2"/>
      <c r="H10" s="2"/>
      <c r="L10" s="2" t="s">
        <v>32</v>
      </c>
      <c r="M10" s="2">
        <f>M9/(18.5*250*24)*1000</f>
        <v>322.24897578378381</v>
      </c>
    </row>
    <row r="11" spans="2:22" x14ac:dyDescent="0.25">
      <c r="L11" s="2" t="s">
        <v>33</v>
      </c>
      <c r="M11" s="2">
        <f>M10/482.4</f>
        <v>0.66801197301779403</v>
      </c>
    </row>
    <row r="12" spans="2:22" x14ac:dyDescent="0.25">
      <c r="L12" s="2" t="s">
        <v>34</v>
      </c>
      <c r="M12" s="2">
        <f>(M11*482.4-36.2*1.1)/449.8</f>
        <v>0.62789901241392576</v>
      </c>
      <c r="S12" s="4"/>
      <c r="T12" s="4"/>
    </row>
    <row r="13" spans="2:22" x14ac:dyDescent="0.25">
      <c r="B13" s="2" t="s">
        <v>1</v>
      </c>
      <c r="C13" s="2" t="s">
        <v>2</v>
      </c>
      <c r="D13" s="2" t="s">
        <v>3</v>
      </c>
      <c r="E13" s="2" t="s">
        <v>4</v>
      </c>
      <c r="F13" s="2" t="s">
        <v>5</v>
      </c>
      <c r="G13" s="2"/>
      <c r="H13" s="2"/>
      <c r="S13" s="4"/>
      <c r="T13" s="4"/>
    </row>
    <row r="14" spans="2:22" x14ac:dyDescent="0.25">
      <c r="B14" s="2">
        <v>1</v>
      </c>
      <c r="C14" s="2">
        <v>22.53</v>
      </c>
      <c r="D14" s="2">
        <v>52.844999999999999</v>
      </c>
      <c r="E14" s="2">
        <v>47.313000000000002</v>
      </c>
      <c r="F14" s="2">
        <v>0.5</v>
      </c>
      <c r="G14" s="2"/>
      <c r="H14" s="2">
        <f>E14*F14*0.34*$J$1</f>
        <v>148.799385</v>
      </c>
      <c r="R14" s="2" t="s">
        <v>35</v>
      </c>
      <c r="S14" s="2"/>
    </row>
    <row r="15" spans="2:22" x14ac:dyDescent="0.25">
      <c r="B15" s="2">
        <v>2</v>
      </c>
      <c r="C15" s="2">
        <v>14.5</v>
      </c>
      <c r="D15" s="2">
        <v>35.295000000000002</v>
      </c>
      <c r="E15" s="2">
        <v>30.45</v>
      </c>
      <c r="F15" s="2">
        <v>0.5</v>
      </c>
      <c r="G15" s="2"/>
      <c r="H15" s="2">
        <f t="shared" ref="H15:H22" si="1">E15*F15*0.34*$J$1</f>
        <v>95.765249999999995</v>
      </c>
      <c r="R15" s="2" t="s">
        <v>36</v>
      </c>
      <c r="S15" s="2" t="s">
        <v>37</v>
      </c>
    </row>
    <row r="16" spans="2:22" x14ac:dyDescent="0.25">
      <c r="B16" s="2">
        <v>3</v>
      </c>
      <c r="C16" s="2">
        <v>12.6</v>
      </c>
      <c r="D16" s="2">
        <v>8.25</v>
      </c>
      <c r="E16" s="2">
        <v>26.46</v>
      </c>
      <c r="F16" s="2">
        <v>0.5</v>
      </c>
      <c r="G16" s="2"/>
      <c r="H16" s="2">
        <f t="shared" si="1"/>
        <v>83.216700000000017</v>
      </c>
      <c r="R16" s="2" t="s">
        <v>38</v>
      </c>
      <c r="S16" s="2" t="s">
        <v>39</v>
      </c>
    </row>
    <row r="17" spans="2:19" x14ac:dyDescent="0.25">
      <c r="B17" s="2">
        <v>4</v>
      </c>
      <c r="C17" s="2">
        <v>10.55</v>
      </c>
      <c r="D17" s="2">
        <v>5.875</v>
      </c>
      <c r="E17" s="2">
        <v>22.155000000000001</v>
      </c>
      <c r="F17" s="2">
        <v>1.5</v>
      </c>
      <c r="G17" s="2"/>
      <c r="H17" s="2">
        <f t="shared" si="1"/>
        <v>209.03242500000002</v>
      </c>
      <c r="R17" s="2" t="s">
        <v>40</v>
      </c>
      <c r="S17" s="2">
        <f>S15/S16</f>
        <v>14.705882352941176</v>
      </c>
    </row>
    <row r="18" spans="2:19" x14ac:dyDescent="0.25">
      <c r="B18" s="2">
        <v>5</v>
      </c>
      <c r="C18" s="2">
        <v>6.15</v>
      </c>
      <c r="D18" s="2">
        <v>3.125</v>
      </c>
      <c r="E18" s="2">
        <v>12.914999999999999</v>
      </c>
      <c r="F18" s="2">
        <v>0.5</v>
      </c>
      <c r="G18" s="2"/>
      <c r="H18" s="2">
        <f t="shared" si="1"/>
        <v>40.617674999999998</v>
      </c>
      <c r="R18" s="2" t="s">
        <v>41</v>
      </c>
      <c r="S18" s="2">
        <v>87.86</v>
      </c>
    </row>
    <row r="19" spans="2:19" x14ac:dyDescent="0.25">
      <c r="B19" s="2">
        <v>6</v>
      </c>
      <c r="C19" s="2">
        <v>4.58</v>
      </c>
      <c r="D19" s="2">
        <v>4.05</v>
      </c>
      <c r="E19" s="2">
        <v>9.6180000000000003</v>
      </c>
      <c r="F19" s="2">
        <v>1.5</v>
      </c>
      <c r="G19" s="2"/>
      <c r="H19" s="2">
        <f t="shared" si="1"/>
        <v>90.745830000000012</v>
      </c>
      <c r="R19" s="2" t="s">
        <v>42</v>
      </c>
      <c r="S19" s="2">
        <f>S17*S18</f>
        <v>1292.0588235294117</v>
      </c>
    </row>
    <row r="20" spans="2:19" x14ac:dyDescent="0.25">
      <c r="B20" s="2">
        <v>7</v>
      </c>
      <c r="C20" s="2">
        <v>2.0499999999999998</v>
      </c>
      <c r="D20" s="2">
        <v>7.125</v>
      </c>
      <c r="E20" s="2">
        <v>4.3049999999999997</v>
      </c>
      <c r="F20" s="2">
        <v>0.5</v>
      </c>
      <c r="G20" s="2"/>
      <c r="H20" s="2">
        <f t="shared" si="1"/>
        <v>13.539225</v>
      </c>
      <c r="R20" s="2" t="s">
        <v>43</v>
      </c>
      <c r="S20" s="2">
        <f>S19/3.6</f>
        <v>358.90522875816993</v>
      </c>
    </row>
    <row r="21" spans="2:19" x14ac:dyDescent="0.25">
      <c r="B21" s="2">
        <v>8</v>
      </c>
      <c r="C21" s="2">
        <v>1.1200000000000001</v>
      </c>
      <c r="D21" s="2">
        <v>3.5</v>
      </c>
      <c r="E21" s="2">
        <v>2.3519999999999999</v>
      </c>
      <c r="F21" s="2">
        <v>0.5</v>
      </c>
      <c r="G21" s="2"/>
      <c r="H21" s="2">
        <f>E21*F21*0.34*$J$1</f>
        <v>7.3970400000000005</v>
      </c>
      <c r="R21" s="2" t="s">
        <v>44</v>
      </c>
      <c r="S21" s="2">
        <f>S20*3</f>
        <v>1076.7156862745098</v>
      </c>
    </row>
    <row r="22" spans="2:19" x14ac:dyDescent="0.25">
      <c r="B22" s="2">
        <v>9</v>
      </c>
      <c r="C22" s="2">
        <v>9.07</v>
      </c>
      <c r="D22" s="2">
        <v>24.625</v>
      </c>
      <c r="E22" s="2">
        <v>19.047000000000001</v>
      </c>
      <c r="F22" s="2">
        <v>0.5</v>
      </c>
      <c r="G22" s="2"/>
      <c r="H22" s="2">
        <f t="shared" si="1"/>
        <v>59.902815000000004</v>
      </c>
      <c r="R22" s="2" t="s">
        <v>107</v>
      </c>
      <c r="S22" s="2">
        <v>0.5</v>
      </c>
    </row>
    <row r="23" spans="2:19" x14ac:dyDescent="0.25">
      <c r="R23" s="2" t="s">
        <v>43</v>
      </c>
      <c r="S23" s="2">
        <f>S22*S21</f>
        <v>538.35784313725492</v>
      </c>
    </row>
    <row r="25" spans="2:19" x14ac:dyDescent="0.25"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/>
      <c r="H25" s="2"/>
    </row>
    <row r="26" spans="2:19" x14ac:dyDescent="0.25">
      <c r="B26" s="2">
        <v>1</v>
      </c>
      <c r="C26" s="2">
        <v>22.53</v>
      </c>
      <c r="D26" s="2">
        <v>52.844999999999999</v>
      </c>
      <c r="E26" s="2">
        <v>47.313000000000002</v>
      </c>
      <c r="F26" s="2">
        <v>0.5</v>
      </c>
      <c r="G26" s="2"/>
      <c r="H26" s="2">
        <f>E26*F26*0.34*$J$1</f>
        <v>148.799385</v>
      </c>
      <c r="L26" s="2" t="s">
        <v>45</v>
      </c>
      <c r="M26" s="2"/>
    </row>
    <row r="27" spans="2:19" x14ac:dyDescent="0.25">
      <c r="B27" s="2">
        <v>2</v>
      </c>
      <c r="C27" s="2">
        <v>14.5</v>
      </c>
      <c r="D27" s="2">
        <v>35.295000000000002</v>
      </c>
      <c r="E27" s="2">
        <v>30.45</v>
      </c>
      <c r="F27" s="2">
        <v>0.5</v>
      </c>
      <c r="G27" s="2"/>
      <c r="H27" s="2">
        <f t="shared" ref="H27:H34" si="2">E27*F27*0.34*$J$1</f>
        <v>95.765249999999995</v>
      </c>
      <c r="L27" s="2" t="s">
        <v>32</v>
      </c>
      <c r="M27" s="2">
        <v>323.2</v>
      </c>
    </row>
    <row r="28" spans="2:19" x14ac:dyDescent="0.25">
      <c r="B28" s="2">
        <v>3</v>
      </c>
      <c r="C28" s="2">
        <v>12.6</v>
      </c>
      <c r="D28" s="2">
        <v>8.25</v>
      </c>
      <c r="E28" s="2">
        <v>26.46</v>
      </c>
      <c r="F28" s="2">
        <v>0.5</v>
      </c>
      <c r="G28" s="2"/>
      <c r="H28" s="2">
        <f t="shared" si="2"/>
        <v>83.216700000000017</v>
      </c>
      <c r="L28" s="2" t="s">
        <v>46</v>
      </c>
      <c r="M28" s="2">
        <v>18.5</v>
      </c>
    </row>
    <row r="29" spans="2:19" x14ac:dyDescent="0.25">
      <c r="B29" s="2">
        <v>4</v>
      </c>
      <c r="C29" s="2">
        <v>10.55</v>
      </c>
      <c r="D29" s="2">
        <v>5.875</v>
      </c>
      <c r="E29" s="2">
        <v>22.155000000000001</v>
      </c>
      <c r="F29" s="2">
        <v>1.5</v>
      </c>
      <c r="G29" s="2"/>
      <c r="H29" s="2">
        <f t="shared" si="2"/>
        <v>209.03242500000002</v>
      </c>
      <c r="L29" s="2" t="s">
        <v>47</v>
      </c>
      <c r="M29" s="2">
        <f>M27*M28</f>
        <v>5979.2</v>
      </c>
    </row>
    <row r="30" spans="2:19" x14ac:dyDescent="0.25">
      <c r="B30" s="2">
        <v>5</v>
      </c>
      <c r="C30" s="2">
        <v>4.38</v>
      </c>
      <c r="D30" s="2">
        <v>3</v>
      </c>
      <c r="E30" s="2">
        <v>9.1980000000000004</v>
      </c>
      <c r="F30" s="2">
        <v>0.5</v>
      </c>
      <c r="G30" s="2"/>
      <c r="H30" s="2">
        <f t="shared" si="2"/>
        <v>28.927710000000005</v>
      </c>
      <c r="L30" s="2"/>
      <c r="M30" s="2"/>
    </row>
    <row r="31" spans="2:19" x14ac:dyDescent="0.25">
      <c r="B31" s="2">
        <v>6</v>
      </c>
      <c r="C31" s="2">
        <v>3.56</v>
      </c>
      <c r="D31" s="2">
        <v>4.55</v>
      </c>
      <c r="E31" s="2">
        <v>7.476</v>
      </c>
      <c r="F31" s="2">
        <v>1.5</v>
      </c>
      <c r="G31" s="2"/>
      <c r="H31" s="2">
        <f t="shared" si="2"/>
        <v>70.536060000000006</v>
      </c>
      <c r="L31" s="2" t="s">
        <v>48</v>
      </c>
      <c r="M31" s="2">
        <f>M29+J35</f>
        <v>6747.5939479999997</v>
      </c>
    </row>
    <row r="32" spans="2:19" x14ac:dyDescent="0.25">
      <c r="B32" s="2">
        <v>7</v>
      </c>
      <c r="C32" s="2">
        <v>2.0499999999999998</v>
      </c>
      <c r="D32" s="2">
        <v>7.125</v>
      </c>
      <c r="E32" s="2">
        <v>4.3049999999999997</v>
      </c>
      <c r="F32" s="2">
        <v>0.5</v>
      </c>
      <c r="G32" s="2"/>
      <c r="H32" s="2">
        <f t="shared" si="2"/>
        <v>13.539225</v>
      </c>
      <c r="L32" s="2" t="s">
        <v>49</v>
      </c>
      <c r="M32" s="2">
        <f>M31*24*250/1000</f>
        <v>40485.563687999995</v>
      </c>
    </row>
    <row r="33" spans="2:10" x14ac:dyDescent="0.25">
      <c r="B33" s="2">
        <v>8</v>
      </c>
      <c r="C33" s="2">
        <v>1.1200000000000001</v>
      </c>
      <c r="D33" s="2">
        <v>3.5</v>
      </c>
      <c r="E33" s="2">
        <v>2.3519999999999999</v>
      </c>
      <c r="F33" s="2">
        <v>0.5</v>
      </c>
      <c r="G33" s="2"/>
      <c r="H33" s="2">
        <f>E33*F33*0.34*$J$1</f>
        <v>7.3970400000000005</v>
      </c>
    </row>
    <row r="34" spans="2:10" x14ac:dyDescent="0.25">
      <c r="B34" s="2">
        <v>9</v>
      </c>
      <c r="C34" s="2">
        <v>1.5</v>
      </c>
      <c r="D34" s="2">
        <v>6.125</v>
      </c>
      <c r="E34" s="2">
        <v>3.15</v>
      </c>
      <c r="F34" s="2">
        <v>0.5</v>
      </c>
      <c r="G34" s="2"/>
      <c r="H34" s="3">
        <f t="shared" si="2"/>
        <v>9.9067499999999988</v>
      </c>
    </row>
    <row r="35" spans="2:10" x14ac:dyDescent="0.25">
      <c r="H35" s="6">
        <f>SUM(H3:H34)</f>
        <v>1920.9848700000002</v>
      </c>
      <c r="I35" s="6" t="s">
        <v>50</v>
      </c>
      <c r="J35" s="6">
        <f>H35*0.4</f>
        <v>768.39394800000014</v>
      </c>
    </row>
    <row r="36" spans="2:10" x14ac:dyDescent="0.25">
      <c r="E36">
        <f>SUM(E3:E34)</f>
        <v>487.99799999999988</v>
      </c>
      <c r="H36" s="6">
        <f>H35/1000</f>
        <v>1.9209848700000003</v>
      </c>
      <c r="I36" s="6" t="s">
        <v>51</v>
      </c>
      <c r="J36" s="6">
        <f t="shared" ref="J36:J37" si="3">H36*0.4</f>
        <v>0.76839394800000016</v>
      </c>
    </row>
    <row r="37" spans="2:10" x14ac:dyDescent="0.25">
      <c r="H37" s="6">
        <f>H36*24*250</f>
        <v>11525.909220000003</v>
      </c>
      <c r="I37" s="6" t="s">
        <v>52</v>
      </c>
      <c r="J37" s="6">
        <f t="shared" si="3"/>
        <v>4610.3636880000013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EA680-D3DC-419F-B902-46094F4EE28C}">
  <dimension ref="B1:W167"/>
  <sheetViews>
    <sheetView topLeftCell="J4" zoomScale="70" zoomScaleNormal="70" workbookViewId="0">
      <selection activeCell="S28" sqref="S28"/>
    </sheetView>
  </sheetViews>
  <sheetFormatPr defaultRowHeight="15.75" x14ac:dyDescent="0.25"/>
  <cols>
    <col min="2" max="2" width="20.25" bestFit="1" customWidth="1"/>
    <col min="3" max="3" width="9.125" bestFit="1" customWidth="1"/>
    <col min="4" max="4" width="18.875" bestFit="1" customWidth="1"/>
    <col min="7" max="7" width="26.75" bestFit="1" customWidth="1"/>
    <col min="8" max="8" width="6.5" bestFit="1" customWidth="1"/>
    <col min="9" max="9" width="5.625" bestFit="1" customWidth="1"/>
    <col min="10" max="10" width="16" bestFit="1" customWidth="1"/>
    <col min="14" max="14" width="24.75" bestFit="1" customWidth="1"/>
    <col min="15" max="15" width="5.5" bestFit="1" customWidth="1"/>
    <col min="16" max="16" width="16.75" bestFit="1" customWidth="1"/>
    <col min="17" max="17" width="26.75" bestFit="1" customWidth="1"/>
    <col min="18" max="18" width="35.125" bestFit="1" customWidth="1"/>
    <col min="19" max="19" width="32.125" bestFit="1" customWidth="1"/>
    <col min="20" max="20" width="17.75" bestFit="1" customWidth="1"/>
    <col min="21" max="21" width="28.375" bestFit="1" customWidth="1"/>
    <col min="22" max="23" width="13.875" bestFit="1" customWidth="1"/>
  </cols>
  <sheetData>
    <row r="1" spans="2:23" x14ac:dyDescent="0.25">
      <c r="G1" s="40" t="s">
        <v>139</v>
      </c>
      <c r="H1" s="40"/>
      <c r="I1" s="40"/>
      <c r="J1" s="40"/>
    </row>
    <row r="2" spans="2:23" x14ac:dyDescent="0.25">
      <c r="B2" s="39" t="s">
        <v>53</v>
      </c>
      <c r="C2" s="39"/>
      <c r="D2" s="39"/>
      <c r="G2" s="6" t="s">
        <v>109</v>
      </c>
      <c r="H2" s="6">
        <v>1.1220000000000001</v>
      </c>
      <c r="I2" s="6" t="s">
        <v>114</v>
      </c>
      <c r="J2" s="6" t="s">
        <v>112</v>
      </c>
    </row>
    <row r="3" spans="2:23" x14ac:dyDescent="0.25">
      <c r="B3" s="2" t="s">
        <v>54</v>
      </c>
      <c r="C3" s="2" t="s">
        <v>55</v>
      </c>
      <c r="D3" s="2" t="s">
        <v>56</v>
      </c>
      <c r="G3" s="6" t="s">
        <v>109</v>
      </c>
      <c r="H3" s="6">
        <v>1.911</v>
      </c>
      <c r="I3" s="6" t="s">
        <v>114</v>
      </c>
      <c r="J3" s="6" t="s">
        <v>112</v>
      </c>
    </row>
    <row r="4" spans="2:23" x14ac:dyDescent="0.25">
      <c r="B4" s="2" t="s">
        <v>57</v>
      </c>
      <c r="C4" s="2" t="s">
        <v>58</v>
      </c>
      <c r="D4" s="2">
        <v>2200</v>
      </c>
      <c r="G4" s="6" t="s">
        <v>110</v>
      </c>
      <c r="H4" s="6">
        <v>1.9359999999999999</v>
      </c>
      <c r="I4" s="6" t="s">
        <v>114</v>
      </c>
      <c r="J4" s="6" t="s">
        <v>113</v>
      </c>
      <c r="Q4" s="1"/>
    </row>
    <row r="5" spans="2:23" x14ac:dyDescent="0.25">
      <c r="B5" s="2" t="s">
        <v>59</v>
      </c>
      <c r="C5" s="2" t="s">
        <v>60</v>
      </c>
      <c r="D5" s="2">
        <v>2500</v>
      </c>
      <c r="G5" s="6" t="s">
        <v>110</v>
      </c>
      <c r="H5" s="6">
        <v>3.2970000000000002</v>
      </c>
      <c r="I5" s="6" t="s">
        <v>114</v>
      </c>
      <c r="J5" s="6" t="s">
        <v>113</v>
      </c>
      <c r="V5" t="s">
        <v>330</v>
      </c>
      <c r="W5" t="s">
        <v>330</v>
      </c>
    </row>
    <row r="6" spans="2:23" x14ac:dyDescent="0.25">
      <c r="B6" s="2" t="s">
        <v>61</v>
      </c>
      <c r="C6" s="2" t="s">
        <v>62</v>
      </c>
      <c r="D6" s="2">
        <v>2200</v>
      </c>
      <c r="G6" s="6" t="s">
        <v>108</v>
      </c>
      <c r="H6" s="6">
        <f>H2+H3</f>
        <v>3.0330000000000004</v>
      </c>
      <c r="I6" s="6" t="s">
        <v>114</v>
      </c>
      <c r="J6" s="6"/>
      <c r="V6">
        <v>0.35710580912863066</v>
      </c>
      <c r="W6">
        <v>0.78656639004149376</v>
      </c>
    </row>
    <row r="7" spans="2:23" x14ac:dyDescent="0.25">
      <c r="B7" s="2" t="s">
        <v>63</v>
      </c>
      <c r="C7" s="2" t="s">
        <v>0</v>
      </c>
      <c r="D7" s="2">
        <v>66</v>
      </c>
      <c r="G7" s="6" t="s">
        <v>111</v>
      </c>
      <c r="H7" s="6">
        <f>H4+H5</f>
        <v>5.2330000000000005</v>
      </c>
      <c r="I7" s="6" t="s">
        <v>114</v>
      </c>
      <c r="J7" s="6"/>
      <c r="N7" s="40" t="s">
        <v>137</v>
      </c>
      <c r="O7" s="40"/>
      <c r="P7" s="40"/>
      <c r="Q7" s="40"/>
      <c r="R7" s="40"/>
      <c r="S7" s="40"/>
      <c r="T7" s="40"/>
      <c r="U7" s="40"/>
    </row>
    <row r="8" spans="2:23" x14ac:dyDescent="0.25">
      <c r="G8" s="6" t="s">
        <v>115</v>
      </c>
      <c r="H8" s="6">
        <f>H6+H7</f>
        <v>8.2660000000000018</v>
      </c>
      <c r="I8" s="6" t="s">
        <v>114</v>
      </c>
      <c r="J8" s="6"/>
      <c r="N8" s="6" t="s">
        <v>132</v>
      </c>
      <c r="O8" s="6" t="s">
        <v>116</v>
      </c>
      <c r="P8" s="6"/>
      <c r="Q8" s="6" t="s">
        <v>117</v>
      </c>
      <c r="R8" s="6" t="s">
        <v>183</v>
      </c>
      <c r="S8" s="6" t="s">
        <v>144</v>
      </c>
      <c r="T8" s="6" t="s">
        <v>133</v>
      </c>
      <c r="U8" s="6" t="s">
        <v>134</v>
      </c>
      <c r="V8" s="6" t="s">
        <v>329</v>
      </c>
      <c r="W8" s="6" t="s">
        <v>328</v>
      </c>
    </row>
    <row r="9" spans="2:23" x14ac:dyDescent="0.25">
      <c r="G9" s="6"/>
      <c r="H9" s="6"/>
      <c r="I9" s="6"/>
      <c r="J9" s="6"/>
      <c r="N9" s="6" t="s">
        <v>118</v>
      </c>
      <c r="O9" s="6">
        <v>-2</v>
      </c>
      <c r="P9" s="6"/>
      <c r="Q9" s="6">
        <v>5.9991586406323583</v>
      </c>
      <c r="R9" s="6">
        <v>0.34111185164323282</v>
      </c>
      <c r="S9" s="6">
        <v>0.03</v>
      </c>
      <c r="T9" s="6">
        <v>0.3675000000000001</v>
      </c>
      <c r="U9" s="6">
        <v>0.71692878883078448</v>
      </c>
      <c r="V9" s="6">
        <f>R9*$V$6</f>
        <v>0.12181302378442208</v>
      </c>
      <c r="W9" s="6">
        <f>R9*$W$6</f>
        <v>0.26830711774738725</v>
      </c>
    </row>
    <row r="10" spans="2:23" x14ac:dyDescent="0.25">
      <c r="B10" s="2" t="s">
        <v>54</v>
      </c>
      <c r="C10" s="2" t="s">
        <v>55</v>
      </c>
      <c r="D10" s="2" t="s">
        <v>56</v>
      </c>
      <c r="G10" s="6"/>
      <c r="H10" s="6"/>
      <c r="I10" s="6"/>
      <c r="J10" s="6"/>
      <c r="N10" s="6" t="s">
        <v>119</v>
      </c>
      <c r="O10" s="6">
        <v>0.9</v>
      </c>
      <c r="P10" s="6"/>
      <c r="Q10" s="6">
        <v>7.1545883444165401</v>
      </c>
      <c r="R10" s="6">
        <v>0.33539988121016645</v>
      </c>
      <c r="S10" s="6">
        <v>0.03</v>
      </c>
      <c r="T10" s="6">
        <v>0.3675000000000001</v>
      </c>
      <c r="U10" s="6">
        <v>0.71138450188859026</v>
      </c>
      <c r="V10" s="6">
        <f t="shared" ref="V10:V20" si="0">R10*$V$6</f>
        <v>0.1197732459612031</v>
      </c>
      <c r="W10" s="6">
        <f t="shared" ref="W10:W20" si="1">R10*$W$6</f>
        <v>0.26381427378382644</v>
      </c>
    </row>
    <row r="11" spans="2:23" x14ac:dyDescent="0.25">
      <c r="B11" s="2" t="s">
        <v>64</v>
      </c>
      <c r="C11" s="2" t="s">
        <v>65</v>
      </c>
      <c r="D11" s="2">
        <v>800</v>
      </c>
      <c r="G11" s="6" t="s">
        <v>130</v>
      </c>
      <c r="H11" s="6">
        <v>3.8559999999999999</v>
      </c>
      <c r="I11" s="6" t="s">
        <v>114</v>
      </c>
      <c r="J11" s="6"/>
      <c r="N11" s="6" t="s">
        <v>120</v>
      </c>
      <c r="O11" s="6">
        <v>2.9</v>
      </c>
      <c r="P11" s="6"/>
      <c r="Q11" s="6">
        <v>7.9514364159918385</v>
      </c>
      <c r="R11" s="6">
        <v>0.33146059125632749</v>
      </c>
      <c r="S11" s="6">
        <v>0.03</v>
      </c>
      <c r="T11" s="6">
        <v>0.3675000000000001</v>
      </c>
      <c r="U11" s="6">
        <v>0.70756085572155947</v>
      </c>
      <c r="V11" s="6">
        <f t="shared" si="0"/>
        <v>0.11836650263484515</v>
      </c>
      <c r="W11" s="6">
        <f t="shared" si="1"/>
        <v>0.26071576070550861</v>
      </c>
    </row>
    <row r="12" spans="2:23" x14ac:dyDescent="0.25">
      <c r="B12" s="2" t="s">
        <v>66</v>
      </c>
      <c r="C12" s="2" t="s">
        <v>67</v>
      </c>
      <c r="D12" s="2">
        <v>4000</v>
      </c>
      <c r="G12" s="6" t="s">
        <v>131</v>
      </c>
      <c r="H12" s="6">
        <f>H7-H11</f>
        <v>1.3770000000000007</v>
      </c>
      <c r="I12" s="6" t="s">
        <v>114</v>
      </c>
      <c r="J12" s="6"/>
      <c r="N12" s="6" t="s">
        <v>121</v>
      </c>
      <c r="O12" s="6">
        <v>7.9</v>
      </c>
      <c r="P12" s="6"/>
      <c r="Q12" s="6">
        <v>9.943556594930083</v>
      </c>
      <c r="R12" s="6">
        <v>0.32161236637173019</v>
      </c>
      <c r="S12" s="6">
        <v>0.02</v>
      </c>
      <c r="T12" s="6">
        <v>0.3675000000000001</v>
      </c>
      <c r="U12" s="6">
        <v>0.68829530535799899</v>
      </c>
      <c r="V12" s="6">
        <f t="shared" si="0"/>
        <v>0.11484964431895031</v>
      </c>
      <c r="W12" s="6">
        <f t="shared" si="1"/>
        <v>0.25296947800971409</v>
      </c>
    </row>
    <row r="13" spans="2:23" x14ac:dyDescent="0.25">
      <c r="B13" s="2" t="s">
        <v>68</v>
      </c>
      <c r="C13" s="2" t="s">
        <v>69</v>
      </c>
      <c r="D13" s="2">
        <v>150</v>
      </c>
      <c r="G13" s="7" t="s">
        <v>147</v>
      </c>
      <c r="H13" s="6">
        <f>H8-H11-0.25</f>
        <v>4.1600000000000019</v>
      </c>
      <c r="I13" s="7" t="s">
        <v>114</v>
      </c>
      <c r="J13" s="6" t="s">
        <v>148</v>
      </c>
      <c r="N13" s="6" t="s">
        <v>122</v>
      </c>
      <c r="O13" s="6">
        <v>13</v>
      </c>
      <c r="P13" s="6"/>
      <c r="Q13" s="6">
        <v>11.975519177447094</v>
      </c>
      <c r="R13" s="6">
        <v>0.31156717698944103</v>
      </c>
      <c r="S13" s="6">
        <v>0</v>
      </c>
      <c r="T13" s="6">
        <v>0.3675000000000001</v>
      </c>
      <c r="U13" s="6">
        <v>0.65913213774010315</v>
      </c>
      <c r="V13" s="6">
        <f t="shared" si="0"/>
        <v>0.11126244883673761</v>
      </c>
      <c r="W13" s="6">
        <f t="shared" si="1"/>
        <v>0.24506826966000378</v>
      </c>
    </row>
    <row r="14" spans="2:23" x14ac:dyDescent="0.25">
      <c r="B14" s="2" t="s">
        <v>68</v>
      </c>
      <c r="C14" s="2" t="s">
        <v>70</v>
      </c>
      <c r="D14" s="2">
        <v>70</v>
      </c>
      <c r="N14" s="6" t="s">
        <v>123</v>
      </c>
      <c r="O14" s="6">
        <v>15.8</v>
      </c>
      <c r="P14" s="6"/>
      <c r="Q14" s="6">
        <v>13.091106477652511</v>
      </c>
      <c r="R14" s="6">
        <v>0.30605217105406662</v>
      </c>
      <c r="S14" s="6">
        <v>0</v>
      </c>
      <c r="T14" s="6">
        <v>0.3675000000000001</v>
      </c>
      <c r="U14" s="6">
        <v>0.6537790331062604</v>
      </c>
      <c r="V14" s="6">
        <f t="shared" si="0"/>
        <v>0.10929300817983653</v>
      </c>
      <c r="W14" s="6">
        <f t="shared" si="1"/>
        <v>0.24073035135035895</v>
      </c>
    </row>
    <row r="15" spans="2:23" x14ac:dyDescent="0.25">
      <c r="B15" s="2" t="s">
        <v>71</v>
      </c>
      <c r="C15" s="2" t="s">
        <v>72</v>
      </c>
      <c r="D15" s="2">
        <v>80</v>
      </c>
      <c r="N15" s="6" t="s">
        <v>124</v>
      </c>
      <c r="O15" s="6">
        <v>17.8</v>
      </c>
      <c r="P15" s="6"/>
      <c r="Q15" s="6">
        <v>13.887954549227809</v>
      </c>
      <c r="R15" s="6">
        <v>0.30211288110022766</v>
      </c>
      <c r="S15" s="6">
        <v>0</v>
      </c>
      <c r="T15" s="6">
        <v>0.3675000000000001</v>
      </c>
      <c r="U15" s="6">
        <v>0.64995538693922972</v>
      </c>
      <c r="V15" s="6">
        <f t="shared" si="0"/>
        <v>0.10788626485347859</v>
      </c>
      <c r="W15" s="6">
        <f t="shared" si="1"/>
        <v>0.2376318382720411</v>
      </c>
    </row>
    <row r="16" spans="2:23" x14ac:dyDescent="0.25">
      <c r="B16" s="2" t="s">
        <v>73</v>
      </c>
      <c r="C16" s="2" t="s">
        <v>74</v>
      </c>
      <c r="D16" s="2">
        <v>5</v>
      </c>
      <c r="G16" s="40" t="s">
        <v>145</v>
      </c>
      <c r="H16" s="40"/>
      <c r="I16" s="40"/>
      <c r="N16" s="6" t="s">
        <v>125</v>
      </c>
      <c r="O16" s="6">
        <v>17.3</v>
      </c>
      <c r="P16" s="6"/>
      <c r="Q16" s="6">
        <v>13.688742531333984</v>
      </c>
      <c r="R16" s="6">
        <v>0.30309770358868743</v>
      </c>
      <c r="S16" s="6">
        <v>0.02</v>
      </c>
      <c r="T16" s="6">
        <v>0.3675000000000001</v>
      </c>
      <c r="U16" s="6">
        <v>0.6703241683729555</v>
      </c>
      <c r="V16" s="6">
        <f t="shared" si="0"/>
        <v>0.10823795068506809</v>
      </c>
      <c r="W16" s="6">
        <f t="shared" si="1"/>
        <v>0.23840646654162057</v>
      </c>
    </row>
    <row r="17" spans="2:23" x14ac:dyDescent="0.25">
      <c r="B17" s="2" t="s">
        <v>75</v>
      </c>
      <c r="C17" s="2" t="s">
        <v>76</v>
      </c>
      <c r="D17" s="2">
        <v>100</v>
      </c>
      <c r="G17" s="6" t="s">
        <v>140</v>
      </c>
      <c r="H17" s="6">
        <v>40.484999999999999</v>
      </c>
      <c r="I17" s="6" t="s">
        <v>114</v>
      </c>
      <c r="N17" s="6" t="s">
        <v>126</v>
      </c>
      <c r="O17" s="6">
        <v>12.8</v>
      </c>
      <c r="P17" s="6"/>
      <c r="Q17" s="6">
        <v>11.895834370289563</v>
      </c>
      <c r="R17" s="6">
        <v>0.3119611059848249</v>
      </c>
      <c r="S17" s="6">
        <v>0.03</v>
      </c>
      <c r="T17" s="6">
        <v>0.3675000000000001</v>
      </c>
      <c r="U17" s="6">
        <v>0.68863380719475831</v>
      </c>
      <c r="V17" s="6">
        <f t="shared" si="0"/>
        <v>0.1114031231693734</v>
      </c>
      <c r="W17" s="6">
        <f t="shared" si="1"/>
        <v>0.24537812096783557</v>
      </c>
    </row>
    <row r="18" spans="2:23" x14ac:dyDescent="0.25">
      <c r="B18" s="3" t="s">
        <v>63</v>
      </c>
      <c r="C18" s="3" t="s">
        <v>0</v>
      </c>
      <c r="D18" s="3">
        <v>70</v>
      </c>
      <c r="G18" s="6" t="s">
        <v>141</v>
      </c>
      <c r="H18" s="6">
        <v>250</v>
      </c>
      <c r="I18" s="6" t="s">
        <v>142</v>
      </c>
      <c r="N18" s="6" t="s">
        <v>127</v>
      </c>
      <c r="O18" s="6">
        <v>8.1</v>
      </c>
      <c r="P18" s="6"/>
      <c r="Q18" s="6">
        <v>10.023241402087613</v>
      </c>
      <c r="R18" s="6">
        <v>0.32121843737634631</v>
      </c>
      <c r="S18" s="6">
        <v>0.03</v>
      </c>
      <c r="T18" s="6">
        <v>0.3675000000000001</v>
      </c>
      <c r="U18" s="6">
        <v>0.69761937568728005</v>
      </c>
      <c r="V18" s="6">
        <f t="shared" si="0"/>
        <v>0.11470896998631452</v>
      </c>
      <c r="W18" s="6">
        <f t="shared" si="1"/>
        <v>0.25265962670188236</v>
      </c>
    </row>
    <row r="19" spans="2:23" x14ac:dyDescent="0.25">
      <c r="B19" s="2" t="s">
        <v>77</v>
      </c>
      <c r="C19" s="2" t="s">
        <v>78</v>
      </c>
      <c r="D19" s="2">
        <v>2000</v>
      </c>
      <c r="G19" s="6" t="s">
        <v>143</v>
      </c>
      <c r="H19" s="6">
        <f>(H17/H18) * 30</f>
        <v>4.8582000000000001</v>
      </c>
      <c r="I19" s="6" t="s">
        <v>114</v>
      </c>
      <c r="N19" s="6" t="s">
        <v>128</v>
      </c>
      <c r="O19" s="6">
        <v>2.9</v>
      </c>
      <c r="P19" s="6"/>
      <c r="Q19" s="6">
        <v>7.9514364159918385</v>
      </c>
      <c r="R19" s="6">
        <v>0.33146059125632749</v>
      </c>
      <c r="S19" s="6">
        <v>0.03</v>
      </c>
      <c r="T19" s="6">
        <v>0.3675000000000001</v>
      </c>
      <c r="U19" s="6">
        <v>0.70756085572155947</v>
      </c>
      <c r="V19" s="6">
        <f t="shared" si="0"/>
        <v>0.11836650263484515</v>
      </c>
      <c r="W19" s="6">
        <f t="shared" si="1"/>
        <v>0.26071576070550861</v>
      </c>
    </row>
    <row r="20" spans="2:23" x14ac:dyDescent="0.25">
      <c r="N20" s="6" t="s">
        <v>129</v>
      </c>
      <c r="O20" s="6">
        <v>-0.9</v>
      </c>
      <c r="P20" s="6"/>
      <c r="Q20" s="6">
        <v>6.4374250799987713</v>
      </c>
      <c r="R20" s="6">
        <v>0.33894524216862143</v>
      </c>
      <c r="S20" s="6">
        <v>0.03</v>
      </c>
      <c r="T20" s="6">
        <v>0.3675000000000001</v>
      </c>
      <c r="U20" s="6">
        <v>0.71482578343891778</v>
      </c>
      <c r="V20" s="6">
        <f t="shared" si="0"/>
        <v>0.12103931495492522</v>
      </c>
      <c r="W20" s="6">
        <f t="shared" si="1"/>
        <v>0.26660293555431241</v>
      </c>
    </row>
    <row r="21" spans="2:23" x14ac:dyDescent="0.25">
      <c r="B21" s="2" t="s">
        <v>54</v>
      </c>
      <c r="C21" s="2" t="s">
        <v>55</v>
      </c>
      <c r="D21" s="2" t="s">
        <v>56</v>
      </c>
      <c r="G21" s="40" t="s">
        <v>146</v>
      </c>
      <c r="H21" s="40"/>
      <c r="I21" s="40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2:23" x14ac:dyDescent="0.25">
      <c r="B22" s="2" t="s">
        <v>79</v>
      </c>
      <c r="C22" s="2" t="s">
        <v>80</v>
      </c>
      <c r="D22" s="2">
        <v>1800</v>
      </c>
      <c r="G22" s="6" t="s">
        <v>140</v>
      </c>
      <c r="H22" s="6">
        <v>0.53800000000000003</v>
      </c>
      <c r="I22" s="6" t="s">
        <v>114</v>
      </c>
      <c r="N22" s="6" t="s">
        <v>135</v>
      </c>
      <c r="O22" s="6">
        <f>AVERAGE(O9:O20)</f>
        <v>8.0416666666666661</v>
      </c>
      <c r="P22" s="6"/>
      <c r="Q22" s="6">
        <f t="shared" ref="Q22" si="2">AVERAGE(Q9:Q20)</f>
        <v>10.000000000000002</v>
      </c>
      <c r="R22" s="6">
        <f>SUM(R9:R20)</f>
        <v>3.8559999999999999</v>
      </c>
      <c r="S22" s="6">
        <f>SUM(S9:S20)</f>
        <v>0.25</v>
      </c>
      <c r="T22" s="6"/>
      <c r="U22" s="6">
        <f>SUM(U9:U20)</f>
        <v>8.2659999999999965</v>
      </c>
      <c r="V22" s="6">
        <f t="shared" ref="V22:W22" si="3">SUM(V9:V20)</f>
        <v>1.3769999999999998</v>
      </c>
      <c r="W22" s="6">
        <f t="shared" si="3"/>
        <v>3.0329999999999995</v>
      </c>
    </row>
    <row r="23" spans="2:23" x14ac:dyDescent="0.25">
      <c r="B23" s="2" t="s">
        <v>75</v>
      </c>
      <c r="C23" s="2" t="s">
        <v>76</v>
      </c>
      <c r="D23" s="2">
        <v>150</v>
      </c>
      <c r="N23" s="6" t="s">
        <v>136</v>
      </c>
      <c r="O23" s="6"/>
      <c r="P23" s="6"/>
      <c r="Q23" s="6">
        <v>10</v>
      </c>
      <c r="R23" s="6">
        <f>H11</f>
        <v>3.8559999999999999</v>
      </c>
      <c r="S23" s="6">
        <f>0.25</f>
        <v>0.25</v>
      </c>
      <c r="T23" s="6">
        <f>T20</f>
        <v>0.3675000000000001</v>
      </c>
      <c r="U23" s="6">
        <f>H8</f>
        <v>8.2660000000000018</v>
      </c>
      <c r="V23" s="6">
        <v>1.377</v>
      </c>
      <c r="W23" s="6">
        <v>3.0329999999999999</v>
      </c>
    </row>
    <row r="24" spans="2:23" x14ac:dyDescent="0.25">
      <c r="B24" s="2" t="s">
        <v>81</v>
      </c>
      <c r="C24" s="2" t="s">
        <v>0</v>
      </c>
      <c r="D24" s="2">
        <v>500</v>
      </c>
    </row>
    <row r="25" spans="2:23" x14ac:dyDescent="0.25">
      <c r="B25" s="2" t="s">
        <v>66</v>
      </c>
      <c r="C25" s="2" t="s">
        <v>67</v>
      </c>
      <c r="D25" s="2">
        <v>4000</v>
      </c>
    </row>
    <row r="26" spans="2:23" x14ac:dyDescent="0.25">
      <c r="B26" s="2" t="s">
        <v>68</v>
      </c>
      <c r="C26" s="2" t="s">
        <v>70</v>
      </c>
      <c r="D26" s="2">
        <v>80</v>
      </c>
      <c r="Q26" s="1"/>
    </row>
    <row r="27" spans="2:23" x14ac:dyDescent="0.25">
      <c r="B27" s="2" t="s">
        <v>71</v>
      </c>
      <c r="C27" s="2" t="s">
        <v>82</v>
      </c>
      <c r="D27" s="2">
        <v>100</v>
      </c>
      <c r="G27" s="6" t="s">
        <v>149</v>
      </c>
      <c r="H27" s="6">
        <f>H17</f>
        <v>40.484999999999999</v>
      </c>
      <c r="P27">
        <v>1.0394125264059169</v>
      </c>
      <c r="S27" s="18"/>
      <c r="T27" s="18"/>
    </row>
    <row r="28" spans="2:23" x14ac:dyDescent="0.25">
      <c r="B28" s="2" t="s">
        <v>83</v>
      </c>
      <c r="C28" s="2" t="s">
        <v>0</v>
      </c>
      <c r="D28" s="2">
        <v>15</v>
      </c>
      <c r="G28" s="6" t="s">
        <v>150</v>
      </c>
      <c r="H28" s="6">
        <f>H13</f>
        <v>4.1600000000000019</v>
      </c>
      <c r="N28" s="6" t="s">
        <v>132</v>
      </c>
      <c r="O28" s="6" t="s">
        <v>116</v>
      </c>
      <c r="P28" s="6" t="s">
        <v>138</v>
      </c>
      <c r="Q28" s="6" t="s">
        <v>144</v>
      </c>
      <c r="S28" s="18"/>
      <c r="T28" s="18"/>
    </row>
    <row r="29" spans="2:23" x14ac:dyDescent="0.25">
      <c r="B29" s="2" t="s">
        <v>84</v>
      </c>
      <c r="C29" s="2" t="s">
        <v>78</v>
      </c>
      <c r="D29" s="2">
        <v>2000</v>
      </c>
      <c r="G29" s="6" t="s">
        <v>151</v>
      </c>
      <c r="H29" s="6">
        <f>H11</f>
        <v>3.8559999999999999</v>
      </c>
      <c r="N29" s="6" t="s">
        <v>118</v>
      </c>
      <c r="O29" s="6">
        <v>-2</v>
      </c>
      <c r="P29" s="6">
        <v>6.8527381912556304</v>
      </c>
      <c r="Q29" s="6">
        <v>0.03</v>
      </c>
      <c r="S29" s="18"/>
      <c r="T29" s="18"/>
    </row>
    <row r="30" spans="2:23" x14ac:dyDescent="0.25">
      <c r="B30" s="2" t="s">
        <v>77</v>
      </c>
      <c r="C30" s="2" t="s">
        <v>70</v>
      </c>
      <c r="D30" s="2">
        <v>2000</v>
      </c>
      <c r="G30" s="6" t="s">
        <v>152</v>
      </c>
      <c r="H30" s="6">
        <f>H22</f>
        <v>0.53800000000000003</v>
      </c>
      <c r="N30" s="6" t="s">
        <v>119</v>
      </c>
      <c r="O30" s="6">
        <v>0.9</v>
      </c>
      <c r="P30" s="6">
        <v>5.8865437448441211</v>
      </c>
      <c r="Q30" s="6">
        <v>0.03</v>
      </c>
      <c r="S30" s="18"/>
      <c r="T30" s="18"/>
    </row>
    <row r="31" spans="2:23" x14ac:dyDescent="0.25">
      <c r="B31" s="2" t="s">
        <v>85</v>
      </c>
      <c r="C31" s="2" t="s">
        <v>69</v>
      </c>
      <c r="D31" s="2">
        <v>1500</v>
      </c>
      <c r="N31" s="6" t="s">
        <v>120</v>
      </c>
      <c r="O31" s="6">
        <v>2.9</v>
      </c>
      <c r="P31" s="6">
        <v>5.2202027473189432</v>
      </c>
      <c r="Q31" s="6">
        <v>0.03</v>
      </c>
      <c r="S31" s="18"/>
      <c r="T31" s="18"/>
    </row>
    <row r="32" spans="2:23" x14ac:dyDescent="0.25">
      <c r="B32" s="2" t="s">
        <v>63</v>
      </c>
      <c r="C32" s="2" t="s">
        <v>0</v>
      </c>
      <c r="D32" s="2">
        <v>80</v>
      </c>
      <c r="N32" s="6" t="s">
        <v>121</v>
      </c>
      <c r="O32" s="6">
        <v>7.9</v>
      </c>
      <c r="P32" s="6">
        <v>3.554350253505997</v>
      </c>
      <c r="Q32" s="6">
        <v>0.02</v>
      </c>
      <c r="S32" s="18"/>
      <c r="T32" s="18"/>
    </row>
    <row r="33" spans="2:20" x14ac:dyDescent="0.25">
      <c r="N33" s="6" t="s">
        <v>122</v>
      </c>
      <c r="O33" s="6">
        <v>13</v>
      </c>
      <c r="P33" s="6">
        <v>1.8551807098167929</v>
      </c>
      <c r="Q33" s="6">
        <v>0</v>
      </c>
      <c r="S33" s="18"/>
      <c r="T33" s="18"/>
    </row>
    <row r="34" spans="2:20" x14ac:dyDescent="0.25">
      <c r="B34" s="2" t="s">
        <v>54</v>
      </c>
      <c r="C34" s="2" t="s">
        <v>55</v>
      </c>
      <c r="D34" s="2" t="s">
        <v>56</v>
      </c>
      <c r="N34" s="6" t="s">
        <v>123</v>
      </c>
      <c r="O34" s="6">
        <v>15.8</v>
      </c>
      <c r="P34" s="6">
        <v>0</v>
      </c>
      <c r="Q34" s="6">
        <v>0</v>
      </c>
      <c r="S34" s="18"/>
      <c r="T34" s="18"/>
    </row>
    <row r="35" spans="2:20" x14ac:dyDescent="0.25">
      <c r="B35" s="2" t="s">
        <v>63</v>
      </c>
      <c r="C35" s="2" t="s">
        <v>0</v>
      </c>
      <c r="D35" s="2">
        <v>13</v>
      </c>
      <c r="N35" s="6" t="s">
        <v>124</v>
      </c>
      <c r="O35" s="6">
        <v>17.8</v>
      </c>
      <c r="P35" s="6">
        <v>0</v>
      </c>
      <c r="Q35" s="6">
        <v>0</v>
      </c>
      <c r="S35" s="18"/>
      <c r="T35" s="18"/>
    </row>
    <row r="36" spans="2:20" x14ac:dyDescent="0.25">
      <c r="N36" s="6" t="s">
        <v>125</v>
      </c>
      <c r="O36" s="6">
        <v>17.3</v>
      </c>
      <c r="P36" s="6">
        <v>0</v>
      </c>
      <c r="Q36" s="6">
        <v>0.02</v>
      </c>
      <c r="S36" s="18"/>
      <c r="T36" s="18"/>
    </row>
    <row r="37" spans="2:20" x14ac:dyDescent="0.25">
      <c r="N37" s="6" t="s">
        <v>126</v>
      </c>
      <c r="O37" s="6">
        <v>12.8</v>
      </c>
      <c r="P37" s="6">
        <v>1.9218148095693104</v>
      </c>
      <c r="Q37" s="6">
        <v>0.03</v>
      </c>
      <c r="S37" s="18"/>
      <c r="T37" s="18"/>
    </row>
    <row r="38" spans="2:20" x14ac:dyDescent="0.25">
      <c r="N38" s="6" t="s">
        <v>127</v>
      </c>
      <c r="O38" s="6">
        <v>8.1</v>
      </c>
      <c r="P38" s="6">
        <v>3.4877161537534791</v>
      </c>
      <c r="Q38" s="6">
        <v>0.03</v>
      </c>
      <c r="S38" s="18"/>
      <c r="T38" s="18"/>
    </row>
    <row r="39" spans="2:20" x14ac:dyDescent="0.25">
      <c r="N39" s="6" t="s">
        <v>128</v>
      </c>
      <c r="O39" s="6">
        <v>2.9</v>
      </c>
      <c r="P39" s="6">
        <v>5.2202027473189432</v>
      </c>
      <c r="Q39" s="6">
        <v>0.03</v>
      </c>
      <c r="S39" s="18"/>
      <c r="T39" s="18"/>
    </row>
    <row r="40" spans="2:20" x14ac:dyDescent="0.25">
      <c r="N40" s="6" t="s">
        <v>129</v>
      </c>
      <c r="O40" s="6">
        <v>-0.9</v>
      </c>
      <c r="P40" s="6">
        <v>6.4862506426167794</v>
      </c>
      <c r="Q40" s="6">
        <v>0.03</v>
      </c>
      <c r="S40" s="18"/>
      <c r="T40" s="18"/>
    </row>
    <row r="41" spans="2:20" x14ac:dyDescent="0.25">
      <c r="N41" s="6"/>
      <c r="O41" s="6"/>
      <c r="P41" s="6"/>
      <c r="Q41" s="6"/>
      <c r="S41" s="18"/>
      <c r="T41" s="18"/>
    </row>
    <row r="42" spans="2:20" x14ac:dyDescent="0.25">
      <c r="N42" s="6" t="s">
        <v>135</v>
      </c>
      <c r="O42" s="6">
        <f>AVERAGE(O29:O40)</f>
        <v>8.0416666666666661</v>
      </c>
      <c r="P42" s="6">
        <f>SUM(P29:P40)</f>
        <v>40.484999999999999</v>
      </c>
      <c r="Q42" s="6">
        <f>SUM(Q29:Q40)</f>
        <v>0.25</v>
      </c>
      <c r="S42" s="18"/>
      <c r="T42" s="18"/>
    </row>
    <row r="43" spans="2:20" x14ac:dyDescent="0.25">
      <c r="N43" s="6" t="s">
        <v>136</v>
      </c>
      <c r="O43" s="6"/>
      <c r="P43" s="6">
        <v>40.484999999999999</v>
      </c>
      <c r="Q43" s="6">
        <v>0.25</v>
      </c>
      <c r="T43" s="18"/>
    </row>
    <row r="44" spans="2:20" x14ac:dyDescent="0.25">
      <c r="T44" s="18"/>
    </row>
    <row r="45" spans="2:20" x14ac:dyDescent="0.25">
      <c r="T45" s="18"/>
    </row>
    <row r="46" spans="2:20" x14ac:dyDescent="0.25">
      <c r="T46" s="18"/>
    </row>
    <row r="47" spans="2:20" x14ac:dyDescent="0.25">
      <c r="T47" s="18"/>
    </row>
    <row r="48" spans="2:20" x14ac:dyDescent="0.25">
      <c r="T48" s="18"/>
    </row>
    <row r="52" spans="14:20" x14ac:dyDescent="0.25">
      <c r="N52" s="6" t="s">
        <v>132</v>
      </c>
      <c r="O52" s="6" t="s">
        <v>116</v>
      </c>
      <c r="P52" s="6" t="s">
        <v>117</v>
      </c>
      <c r="Q52" s="6" t="s">
        <v>153</v>
      </c>
      <c r="R52" s="6" t="s">
        <v>154</v>
      </c>
      <c r="S52" s="6" t="s">
        <v>155</v>
      </c>
      <c r="T52" s="6" t="s">
        <v>156</v>
      </c>
    </row>
    <row r="53" spans="14:20" x14ac:dyDescent="0.25">
      <c r="N53" s="6" t="s">
        <v>118</v>
      </c>
      <c r="O53" s="6">
        <v>-2</v>
      </c>
      <c r="P53" s="6">
        <v>5.9991586406323583</v>
      </c>
      <c r="Q53" s="6">
        <f>140*(4180/3600000)*(75-$P53)</f>
        <v>11.21647010097276</v>
      </c>
      <c r="R53" s="6">
        <f>Q53/2.2</f>
        <v>5.0983955004421633</v>
      </c>
      <c r="S53" s="6">
        <f>1*(4180/3600000)*(100-$P53)</f>
        <v>0.10914542135615464</v>
      </c>
      <c r="T53" s="6">
        <f>31-Q53</f>
        <v>19.78352989902724</v>
      </c>
    </row>
    <row r="54" spans="14:20" x14ac:dyDescent="0.25">
      <c r="N54" s="6" t="s">
        <v>121</v>
      </c>
      <c r="O54" s="6">
        <v>7.9</v>
      </c>
      <c r="P54" s="6">
        <v>9.943556594930083</v>
      </c>
      <c r="Q54" s="6">
        <f t="shared" ref="Q54:Q56" si="4">140*(4180/3600000)*(75-$P54)</f>
        <v>10.575286300179696</v>
      </c>
      <c r="R54" s="6">
        <f t="shared" ref="R54:R56" si="5">Q54/2.2</f>
        <v>4.8069483182634976</v>
      </c>
      <c r="S54" s="6">
        <f t="shared" ref="S54:S56" si="6">1*(4180/3600000)*(100-$P54)</f>
        <v>0.10456553706477562</v>
      </c>
      <c r="T54" s="6">
        <f>(691/30)-Q54</f>
        <v>12.458047033153639</v>
      </c>
    </row>
    <row r="55" spans="14:20" x14ac:dyDescent="0.25">
      <c r="N55" s="6" t="s">
        <v>125</v>
      </c>
      <c r="O55" s="6">
        <v>17.3</v>
      </c>
      <c r="P55" s="6">
        <v>13.688742531333984</v>
      </c>
      <c r="Q55" s="6">
        <f t="shared" si="4"/>
        <v>9.9664855196287068</v>
      </c>
      <c r="R55" s="6">
        <f t="shared" si="5"/>
        <v>4.5302206907403209</v>
      </c>
      <c r="S55" s="6">
        <f t="shared" si="6"/>
        <v>0.10021696006083998</v>
      </c>
      <c r="T55" s="6">
        <f>(469/30)-Q55</f>
        <v>5.6668478137046261</v>
      </c>
    </row>
    <row r="56" spans="14:20" x14ac:dyDescent="0.25">
      <c r="N56" s="6" t="s">
        <v>127</v>
      </c>
      <c r="O56" s="6">
        <v>8.1</v>
      </c>
      <c r="P56" s="6">
        <v>10.023241402087613</v>
      </c>
      <c r="Q56" s="6">
        <f t="shared" si="4"/>
        <v>10.562333092082866</v>
      </c>
      <c r="R56" s="6">
        <f t="shared" si="5"/>
        <v>4.8010604964013028</v>
      </c>
      <c r="S56" s="6">
        <f t="shared" si="6"/>
        <v>0.10447301414979826</v>
      </c>
      <c r="T56" s="6">
        <f>(696/30)-Q56</f>
        <v>12.637666907917133</v>
      </c>
    </row>
    <row r="60" spans="14:20" x14ac:dyDescent="0.25">
      <c r="N60" s="6" t="s">
        <v>118</v>
      </c>
      <c r="O60" s="6" t="s">
        <v>158</v>
      </c>
      <c r="P60" s="6" t="s">
        <v>157</v>
      </c>
      <c r="Q60" s="6" t="s">
        <v>159</v>
      </c>
    </row>
    <row r="61" spans="14:20" x14ac:dyDescent="0.25">
      <c r="N61" s="6">
        <v>0</v>
      </c>
      <c r="O61" s="6"/>
      <c r="P61" s="6">
        <v>0.1</v>
      </c>
      <c r="Q61" s="6">
        <f>O61+P61*$Q$86</f>
        <v>0.17504424778761046</v>
      </c>
    </row>
    <row r="62" spans="14:20" x14ac:dyDescent="0.25">
      <c r="N62" s="6">
        <v>1</v>
      </c>
      <c r="O62" s="6">
        <v>2.2000000000000002</v>
      </c>
      <c r="P62" s="6">
        <v>0.1</v>
      </c>
      <c r="Q62" s="6">
        <f>O62+P62*$Q$86</f>
        <v>2.3750442477876108</v>
      </c>
    </row>
    <row r="63" spans="14:20" x14ac:dyDescent="0.25">
      <c r="N63" s="6">
        <v>2</v>
      </c>
      <c r="O63" s="6">
        <v>2.2000000000000002</v>
      </c>
      <c r="P63" s="6">
        <v>0.1</v>
      </c>
      <c r="Q63" s="6">
        <f>O62+P63*$Q$86</f>
        <v>2.3750442477876108</v>
      </c>
    </row>
    <row r="64" spans="14:20" x14ac:dyDescent="0.25">
      <c r="N64" s="6">
        <v>3</v>
      </c>
      <c r="O64" s="6">
        <v>2.2000000000000002</v>
      </c>
      <c r="P64" s="6">
        <v>0.1</v>
      </c>
      <c r="Q64" s="6">
        <f>O63+P64*$Q$86</f>
        <v>2.3750442477876108</v>
      </c>
    </row>
    <row r="65" spans="14:17" x14ac:dyDescent="0.25">
      <c r="N65" s="6">
        <v>4</v>
      </c>
      <c r="O65" s="6">
        <v>2.2000000000000002</v>
      </c>
      <c r="P65" s="6">
        <v>0.1</v>
      </c>
      <c r="Q65" s="6">
        <f>O64+P65*$Q$86</f>
        <v>2.3750442477876108</v>
      </c>
    </row>
    <row r="66" spans="14:17" x14ac:dyDescent="0.25">
      <c r="N66" s="6">
        <v>5</v>
      </c>
      <c r="O66" s="6">
        <v>2.2000000000000002</v>
      </c>
      <c r="P66" s="6">
        <v>0.4</v>
      </c>
      <c r="Q66" s="6">
        <f t="shared" ref="Q66:Q84" si="7">O66+P66*$Q$86</f>
        <v>2.9001769911504418</v>
      </c>
    </row>
    <row r="67" spans="14:17" x14ac:dyDescent="0.25">
      <c r="N67" s="6">
        <v>6</v>
      </c>
      <c r="O67" s="6"/>
      <c r="P67" s="6">
        <v>0.7</v>
      </c>
      <c r="Q67" s="6">
        <f t="shared" si="7"/>
        <v>1.2253097345132731</v>
      </c>
    </row>
    <row r="68" spans="14:17" x14ac:dyDescent="0.25">
      <c r="N68" s="6">
        <v>7</v>
      </c>
      <c r="O68" s="6"/>
      <c r="P68" s="6">
        <v>0.2</v>
      </c>
      <c r="Q68" s="6">
        <f t="shared" si="7"/>
        <v>0.35008849557522093</v>
      </c>
    </row>
    <row r="69" spans="14:17" x14ac:dyDescent="0.25">
      <c r="N69" s="6">
        <v>8</v>
      </c>
      <c r="O69" s="6"/>
      <c r="P69" s="6">
        <v>0.1</v>
      </c>
      <c r="Q69" s="6">
        <f t="shared" si="7"/>
        <v>0.17504424778761046</v>
      </c>
    </row>
    <row r="70" spans="14:17" x14ac:dyDescent="0.25">
      <c r="N70" s="6">
        <v>9</v>
      </c>
      <c r="O70" s="6"/>
      <c r="P70" s="6">
        <v>0.3</v>
      </c>
      <c r="Q70" s="6">
        <f t="shared" si="7"/>
        <v>0.52513274336283133</v>
      </c>
    </row>
    <row r="71" spans="14:17" x14ac:dyDescent="0.25">
      <c r="N71" s="6">
        <v>10</v>
      </c>
      <c r="O71" s="6"/>
      <c r="P71" s="6">
        <v>0.4</v>
      </c>
      <c r="Q71" s="6">
        <f t="shared" si="7"/>
        <v>0.70017699115044185</v>
      </c>
    </row>
    <row r="72" spans="14:17" x14ac:dyDescent="0.25">
      <c r="N72" s="6">
        <v>11</v>
      </c>
      <c r="O72" s="6"/>
      <c r="P72" s="6">
        <v>0.8</v>
      </c>
      <c r="Q72" s="6">
        <f t="shared" si="7"/>
        <v>1.4003539823008837</v>
      </c>
    </row>
    <row r="73" spans="14:17" x14ac:dyDescent="0.25">
      <c r="N73" s="6">
        <v>12</v>
      </c>
      <c r="O73" s="6">
        <v>0.19</v>
      </c>
      <c r="P73" s="6">
        <v>0.9</v>
      </c>
      <c r="Q73" s="6">
        <f>O73+P73*$Q$86</f>
        <v>1.7653982300884941</v>
      </c>
    </row>
    <row r="74" spans="14:17" x14ac:dyDescent="0.25">
      <c r="N74" s="6">
        <v>13</v>
      </c>
      <c r="O74" s="6"/>
      <c r="P74" s="6">
        <v>0.6</v>
      </c>
      <c r="Q74" s="6">
        <f>O74+P74*$Q$86</f>
        <v>1.0502654867256627</v>
      </c>
    </row>
    <row r="75" spans="14:17" x14ac:dyDescent="0.25">
      <c r="N75" s="6">
        <v>14</v>
      </c>
      <c r="O75" s="6"/>
      <c r="P75" s="6">
        <v>0.5</v>
      </c>
      <c r="Q75" s="6">
        <f>O75+P75*$Q$86</f>
        <v>0.87522123893805226</v>
      </c>
    </row>
    <row r="76" spans="14:17" x14ac:dyDescent="0.25">
      <c r="N76" s="6">
        <v>15</v>
      </c>
      <c r="O76" s="6"/>
      <c r="P76" s="6">
        <v>0.3</v>
      </c>
      <c r="Q76" s="6">
        <f>O75+P76*$Q$86</f>
        <v>0.52513274336283133</v>
      </c>
    </row>
    <row r="77" spans="14:17" x14ac:dyDescent="0.25">
      <c r="N77" s="6">
        <v>16</v>
      </c>
      <c r="O77" s="6"/>
      <c r="P77" s="6">
        <v>0.8</v>
      </c>
      <c r="Q77" s="6">
        <f>O76+P77*$Q$86</f>
        <v>1.4003539823008837</v>
      </c>
    </row>
    <row r="78" spans="14:17" x14ac:dyDescent="0.25">
      <c r="N78" s="6">
        <v>17</v>
      </c>
      <c r="O78" s="6"/>
      <c r="P78" s="6">
        <v>0.9</v>
      </c>
      <c r="Q78" s="6">
        <f t="shared" si="7"/>
        <v>1.5753982300884941</v>
      </c>
    </row>
    <row r="79" spans="14:17" x14ac:dyDescent="0.25">
      <c r="N79" s="6">
        <v>18</v>
      </c>
      <c r="O79" s="6"/>
      <c r="P79" s="6">
        <v>1</v>
      </c>
      <c r="Q79" s="6">
        <f t="shared" si="7"/>
        <v>1.7504424778761045</v>
      </c>
    </row>
    <row r="80" spans="14:17" x14ac:dyDescent="0.25">
      <c r="N80" s="6">
        <v>19</v>
      </c>
      <c r="O80" s="6"/>
      <c r="P80" s="6">
        <v>0.9</v>
      </c>
      <c r="Q80" s="6">
        <f t="shared" si="7"/>
        <v>1.5753982300884941</v>
      </c>
    </row>
    <row r="81" spans="14:17" x14ac:dyDescent="0.25">
      <c r="N81" s="6">
        <v>20</v>
      </c>
      <c r="O81" s="6"/>
      <c r="P81" s="6">
        <v>0.8</v>
      </c>
      <c r="Q81" s="6">
        <f t="shared" si="7"/>
        <v>1.4003539823008837</v>
      </c>
    </row>
    <row r="82" spans="14:17" x14ac:dyDescent="0.25">
      <c r="N82" s="6">
        <v>21</v>
      </c>
      <c r="O82" s="6"/>
      <c r="P82" s="6">
        <v>0.7</v>
      </c>
      <c r="Q82" s="6">
        <f t="shared" si="7"/>
        <v>1.2253097345132731</v>
      </c>
    </row>
    <row r="83" spans="14:17" x14ac:dyDescent="0.25">
      <c r="N83" s="6">
        <v>22</v>
      </c>
      <c r="O83" s="6"/>
      <c r="P83" s="6">
        <v>0.3</v>
      </c>
      <c r="Q83" s="6">
        <f t="shared" si="7"/>
        <v>0.52513274336283133</v>
      </c>
    </row>
    <row r="84" spans="14:17" x14ac:dyDescent="0.25">
      <c r="N84" s="6">
        <v>23</v>
      </c>
      <c r="O84" s="6"/>
      <c r="P84" s="6">
        <v>0.2</v>
      </c>
      <c r="Q84" s="6">
        <f t="shared" si="7"/>
        <v>0.35008849557522093</v>
      </c>
    </row>
    <row r="85" spans="14:17" x14ac:dyDescent="0.25">
      <c r="O85">
        <f>SUM(O61:O84)</f>
        <v>11.19</v>
      </c>
      <c r="Q85">
        <f>SUM(Q61:Q84)-O85</f>
        <v>19.779999999999994</v>
      </c>
    </row>
    <row r="86" spans="14:17" x14ac:dyDescent="0.25">
      <c r="O86">
        <v>1.2738636363636364</v>
      </c>
      <c r="Q86">
        <v>1.7504424778761045</v>
      </c>
    </row>
    <row r="87" spans="14:17" x14ac:dyDescent="0.25">
      <c r="N87" s="6" t="s">
        <v>121</v>
      </c>
      <c r="O87" s="6"/>
      <c r="P87" s="6"/>
      <c r="Q87" s="6"/>
    </row>
    <row r="88" spans="14:17" x14ac:dyDescent="0.25">
      <c r="N88" s="6">
        <v>0</v>
      </c>
      <c r="O88" s="6"/>
      <c r="P88" s="6">
        <v>0.1</v>
      </c>
      <c r="Q88" s="6">
        <f>O88+P88*$Q$113</f>
        <v>0.10732758620688401</v>
      </c>
    </row>
    <row r="89" spans="14:17" x14ac:dyDescent="0.25">
      <c r="N89" s="6">
        <v>1</v>
      </c>
      <c r="O89" s="6">
        <v>2.2000000000000002</v>
      </c>
      <c r="P89" s="6">
        <v>0.1</v>
      </c>
      <c r="Q89" s="6">
        <f t="shared" ref="Q89:Q111" si="8">O89+P89*$Q$113</f>
        <v>2.3073275862068843</v>
      </c>
    </row>
    <row r="90" spans="14:17" x14ac:dyDescent="0.25">
      <c r="N90" s="6">
        <v>2</v>
      </c>
      <c r="O90" s="6">
        <v>2.2000000000000002</v>
      </c>
      <c r="P90" s="6">
        <v>0.1</v>
      </c>
      <c r="Q90" s="6">
        <f t="shared" si="8"/>
        <v>2.3073275862068843</v>
      </c>
    </row>
    <row r="91" spans="14:17" x14ac:dyDescent="0.25">
      <c r="N91" s="6">
        <v>3</v>
      </c>
      <c r="O91" s="6">
        <v>2.2000000000000002</v>
      </c>
      <c r="P91" s="6">
        <v>0.1</v>
      </c>
      <c r="Q91" s="6">
        <f t="shared" si="8"/>
        <v>2.3073275862068843</v>
      </c>
    </row>
    <row r="92" spans="14:17" x14ac:dyDescent="0.25">
      <c r="N92" s="6">
        <v>4</v>
      </c>
      <c r="O92" s="6">
        <v>2.2000000000000002</v>
      </c>
      <c r="P92" s="6">
        <v>0.1</v>
      </c>
      <c r="Q92" s="6">
        <f t="shared" si="8"/>
        <v>2.3073275862068843</v>
      </c>
    </row>
    <row r="93" spans="14:17" x14ac:dyDescent="0.25">
      <c r="N93" s="6">
        <v>5</v>
      </c>
      <c r="O93" s="6">
        <v>1.5</v>
      </c>
      <c r="P93" s="6">
        <v>0.7</v>
      </c>
      <c r="Q93" s="6">
        <f t="shared" si="8"/>
        <v>2.2512931034481882</v>
      </c>
    </row>
    <row r="94" spans="14:17" x14ac:dyDescent="0.25">
      <c r="N94" s="6">
        <v>6</v>
      </c>
      <c r="O94" s="6"/>
      <c r="P94" s="6">
        <v>0.7</v>
      </c>
      <c r="Q94" s="6">
        <f t="shared" si="8"/>
        <v>0.751293103448188</v>
      </c>
    </row>
    <row r="95" spans="14:17" x14ac:dyDescent="0.25">
      <c r="N95" s="6">
        <v>7</v>
      </c>
      <c r="O95" s="6"/>
      <c r="P95" s="6">
        <v>0.2</v>
      </c>
      <c r="Q95" s="6">
        <f t="shared" si="8"/>
        <v>0.21465517241376803</v>
      </c>
    </row>
    <row r="96" spans="14:17" x14ac:dyDescent="0.25">
      <c r="N96" s="6">
        <v>8</v>
      </c>
      <c r="O96" s="6"/>
      <c r="P96" s="6">
        <v>0.1</v>
      </c>
      <c r="Q96" s="6">
        <f t="shared" si="8"/>
        <v>0.10732758620688401</v>
      </c>
    </row>
    <row r="97" spans="14:17" x14ac:dyDescent="0.25">
      <c r="N97" s="6">
        <v>9</v>
      </c>
      <c r="O97" s="6"/>
      <c r="P97" s="6">
        <v>0.3</v>
      </c>
      <c r="Q97" s="6">
        <f t="shared" si="8"/>
        <v>0.32198275862065201</v>
      </c>
    </row>
    <row r="98" spans="14:17" x14ac:dyDescent="0.25">
      <c r="N98" s="6">
        <v>10</v>
      </c>
      <c r="O98" s="6"/>
      <c r="P98" s="6">
        <v>0.4</v>
      </c>
      <c r="Q98" s="6">
        <f t="shared" si="8"/>
        <v>0.42931034482753605</v>
      </c>
    </row>
    <row r="99" spans="14:17" x14ac:dyDescent="0.25">
      <c r="N99" s="6">
        <v>11</v>
      </c>
      <c r="O99" s="6"/>
      <c r="P99" s="6">
        <v>0.8</v>
      </c>
      <c r="Q99" s="6">
        <f t="shared" si="8"/>
        <v>0.8586206896550721</v>
      </c>
    </row>
    <row r="100" spans="14:17" x14ac:dyDescent="0.25">
      <c r="N100" s="6">
        <v>12</v>
      </c>
      <c r="O100" s="6">
        <v>0.19</v>
      </c>
      <c r="P100" s="6">
        <v>0.9</v>
      </c>
      <c r="Q100" s="6">
        <f t="shared" si="8"/>
        <v>1.1559482758619561</v>
      </c>
    </row>
    <row r="101" spans="14:17" x14ac:dyDescent="0.25">
      <c r="N101" s="6">
        <v>13</v>
      </c>
      <c r="O101" s="6"/>
      <c r="P101" s="6">
        <v>0.6</v>
      </c>
      <c r="Q101" s="6">
        <f t="shared" si="8"/>
        <v>0.64396551724130402</v>
      </c>
    </row>
    <row r="102" spans="14:17" x14ac:dyDescent="0.25">
      <c r="N102" s="6">
        <v>14</v>
      </c>
      <c r="O102" s="6"/>
      <c r="P102" s="6">
        <v>0.5</v>
      </c>
      <c r="Q102" s="6">
        <f t="shared" si="8"/>
        <v>0.53663793103442003</v>
      </c>
    </row>
    <row r="103" spans="14:17" x14ac:dyDescent="0.25">
      <c r="N103" s="6">
        <v>15</v>
      </c>
      <c r="O103" s="6"/>
      <c r="P103" s="6">
        <v>0.3</v>
      </c>
      <c r="Q103" s="6">
        <f t="shared" si="8"/>
        <v>0.32198275862065201</v>
      </c>
    </row>
    <row r="104" spans="14:17" x14ac:dyDescent="0.25">
      <c r="N104" s="6">
        <v>16</v>
      </c>
      <c r="O104" s="6"/>
      <c r="P104" s="6">
        <v>0.8</v>
      </c>
      <c r="Q104" s="6">
        <f t="shared" si="8"/>
        <v>0.8586206896550721</v>
      </c>
    </row>
    <row r="105" spans="14:17" x14ac:dyDescent="0.25">
      <c r="N105" s="6">
        <v>17</v>
      </c>
      <c r="O105" s="6"/>
      <c r="P105" s="6">
        <v>0.9</v>
      </c>
      <c r="Q105" s="6">
        <f t="shared" si="8"/>
        <v>0.96594827586195608</v>
      </c>
    </row>
    <row r="106" spans="14:17" x14ac:dyDescent="0.25">
      <c r="N106" s="6">
        <v>18</v>
      </c>
      <c r="O106" s="6"/>
      <c r="P106" s="6">
        <v>1</v>
      </c>
      <c r="Q106" s="6">
        <f t="shared" si="8"/>
        <v>1.0732758620688401</v>
      </c>
    </row>
    <row r="107" spans="14:17" x14ac:dyDescent="0.25">
      <c r="N107" s="6">
        <v>19</v>
      </c>
      <c r="O107" s="6"/>
      <c r="P107" s="6">
        <v>0.9</v>
      </c>
      <c r="Q107" s="6">
        <f t="shared" si="8"/>
        <v>0.96594827586195608</v>
      </c>
    </row>
    <row r="108" spans="14:17" x14ac:dyDescent="0.25">
      <c r="N108" s="6">
        <v>20</v>
      </c>
      <c r="O108" s="6"/>
      <c r="P108" s="6">
        <v>0.8</v>
      </c>
      <c r="Q108" s="6">
        <f t="shared" si="8"/>
        <v>0.8586206896550721</v>
      </c>
    </row>
    <row r="109" spans="14:17" x14ac:dyDescent="0.25">
      <c r="N109" s="6">
        <v>21</v>
      </c>
      <c r="O109" s="6"/>
      <c r="P109" s="6">
        <v>0.7</v>
      </c>
      <c r="Q109" s="6">
        <f t="shared" si="8"/>
        <v>0.751293103448188</v>
      </c>
    </row>
    <row r="110" spans="14:17" x14ac:dyDescent="0.25">
      <c r="N110" s="6">
        <v>22</v>
      </c>
      <c r="O110" s="6"/>
      <c r="P110" s="6">
        <v>0.3</v>
      </c>
      <c r="Q110" s="6">
        <f t="shared" si="8"/>
        <v>0.32198275862065201</v>
      </c>
    </row>
    <row r="111" spans="14:17" x14ac:dyDescent="0.25">
      <c r="N111" s="6">
        <v>23</v>
      </c>
      <c r="O111" s="6"/>
      <c r="P111" s="6">
        <v>0.2</v>
      </c>
      <c r="Q111" s="6">
        <f t="shared" si="8"/>
        <v>0.21465517241376803</v>
      </c>
    </row>
    <row r="112" spans="14:17" x14ac:dyDescent="0.25">
      <c r="O112">
        <f>SUM(O88:O111)</f>
        <v>10.49</v>
      </c>
      <c r="Q112">
        <f>SUM(Q88:Q111)-O112</f>
        <v>12.449999999998548</v>
      </c>
    </row>
    <row r="113" spans="14:17" x14ac:dyDescent="0.25">
      <c r="O113">
        <v>1.2738636363636364</v>
      </c>
      <c r="Q113">
        <v>1.0732758620688401</v>
      </c>
    </row>
    <row r="114" spans="14:17" x14ac:dyDescent="0.25">
      <c r="N114" s="6" t="s">
        <v>125</v>
      </c>
      <c r="O114" s="6"/>
      <c r="P114" s="6"/>
      <c r="Q114" s="6"/>
    </row>
    <row r="115" spans="14:17" x14ac:dyDescent="0.25">
      <c r="N115" s="6">
        <v>0</v>
      </c>
      <c r="O115" s="6"/>
      <c r="P115" s="6">
        <v>0.1</v>
      </c>
      <c r="Q115" s="6">
        <f>O115+P115*$Q$140</f>
        <v>4.8793103448275817E-2</v>
      </c>
    </row>
    <row r="116" spans="14:17" x14ac:dyDescent="0.25">
      <c r="N116" s="6">
        <v>1</v>
      </c>
      <c r="O116" s="6">
        <v>2.2000000000000002</v>
      </c>
      <c r="P116" s="6">
        <v>0.1</v>
      </c>
      <c r="Q116" s="6">
        <f t="shared" ref="Q116:Q138" si="9">O116+P116*$Q$140</f>
        <v>2.2487931034482762</v>
      </c>
    </row>
    <row r="117" spans="14:17" x14ac:dyDescent="0.25">
      <c r="N117" s="6">
        <v>2</v>
      </c>
      <c r="O117" s="6">
        <v>2.2000000000000002</v>
      </c>
      <c r="P117" s="6">
        <v>0.1</v>
      </c>
      <c r="Q117" s="6">
        <f t="shared" si="9"/>
        <v>2.2487931034482762</v>
      </c>
    </row>
    <row r="118" spans="14:17" x14ac:dyDescent="0.25">
      <c r="N118" s="6">
        <v>3</v>
      </c>
      <c r="O118" s="6">
        <v>2.2000000000000002</v>
      </c>
      <c r="P118" s="6">
        <v>0.1</v>
      </c>
      <c r="Q118" s="6">
        <f t="shared" si="9"/>
        <v>2.2487931034482762</v>
      </c>
    </row>
    <row r="119" spans="14:17" x14ac:dyDescent="0.25">
      <c r="N119" s="6">
        <v>4</v>
      </c>
      <c r="O119" s="6">
        <v>2.2000000000000002</v>
      </c>
      <c r="P119" s="6">
        <v>0.1</v>
      </c>
      <c r="Q119" s="6">
        <f t="shared" si="9"/>
        <v>2.2487931034482762</v>
      </c>
    </row>
    <row r="120" spans="14:17" x14ac:dyDescent="0.25">
      <c r="N120" s="6">
        <v>5</v>
      </c>
      <c r="O120" s="6">
        <v>1.5</v>
      </c>
      <c r="P120" s="6">
        <v>0.7</v>
      </c>
      <c r="Q120" s="6">
        <f t="shared" si="9"/>
        <v>1.8415517241379307</v>
      </c>
    </row>
    <row r="121" spans="14:17" x14ac:dyDescent="0.25">
      <c r="N121" s="6">
        <v>6</v>
      </c>
      <c r="O121" s="6"/>
      <c r="P121" s="6">
        <v>0.7</v>
      </c>
      <c r="Q121" s="6">
        <f t="shared" si="9"/>
        <v>0.34155172413793067</v>
      </c>
    </row>
    <row r="122" spans="14:17" x14ac:dyDescent="0.25">
      <c r="N122" s="6">
        <v>7</v>
      </c>
      <c r="O122" s="6"/>
      <c r="P122" s="6">
        <v>0.2</v>
      </c>
      <c r="Q122" s="6">
        <f t="shared" si="9"/>
        <v>9.7586206896551633E-2</v>
      </c>
    </row>
    <row r="123" spans="14:17" x14ac:dyDescent="0.25">
      <c r="N123" s="6">
        <v>8</v>
      </c>
      <c r="O123" s="6"/>
      <c r="P123" s="6">
        <v>0.1</v>
      </c>
      <c r="Q123" s="6">
        <f t="shared" si="9"/>
        <v>4.8793103448275817E-2</v>
      </c>
    </row>
    <row r="124" spans="14:17" x14ac:dyDescent="0.25">
      <c r="N124" s="6">
        <v>9</v>
      </c>
      <c r="O124" s="6"/>
      <c r="P124" s="6">
        <v>0.3</v>
      </c>
      <c r="Q124" s="6">
        <f t="shared" si="9"/>
        <v>0.14637931034482743</v>
      </c>
    </row>
    <row r="125" spans="14:17" x14ac:dyDescent="0.25">
      <c r="N125" s="6">
        <v>10</v>
      </c>
      <c r="O125" s="6"/>
      <c r="P125" s="6">
        <v>0.4</v>
      </c>
      <c r="Q125" s="6">
        <f t="shared" si="9"/>
        <v>0.19517241379310327</v>
      </c>
    </row>
    <row r="126" spans="14:17" x14ac:dyDescent="0.25">
      <c r="N126" s="6">
        <v>11</v>
      </c>
      <c r="O126" s="6"/>
      <c r="P126" s="6">
        <v>0.8</v>
      </c>
      <c r="Q126" s="6">
        <f t="shared" si="9"/>
        <v>0.39034482758620653</v>
      </c>
    </row>
    <row r="127" spans="14:17" x14ac:dyDescent="0.25">
      <c r="N127" s="6">
        <v>12</v>
      </c>
      <c r="O127" s="6">
        <v>0.19</v>
      </c>
      <c r="P127" s="6">
        <v>0.9</v>
      </c>
      <c r="Q127" s="6">
        <f t="shared" si="9"/>
        <v>0.62913793103448235</v>
      </c>
    </row>
    <row r="128" spans="14:17" x14ac:dyDescent="0.25">
      <c r="N128" s="6">
        <v>13</v>
      </c>
      <c r="O128" s="6"/>
      <c r="P128" s="6">
        <v>0.6</v>
      </c>
      <c r="Q128" s="6">
        <f t="shared" si="9"/>
        <v>0.29275862068965486</v>
      </c>
    </row>
    <row r="129" spans="14:17" x14ac:dyDescent="0.25">
      <c r="N129" s="6">
        <v>14</v>
      </c>
      <c r="O129" s="6"/>
      <c r="P129" s="6">
        <v>0.5</v>
      </c>
      <c r="Q129" s="6">
        <f t="shared" si="9"/>
        <v>0.24396551724137908</v>
      </c>
    </row>
    <row r="130" spans="14:17" x14ac:dyDescent="0.25">
      <c r="N130" s="6">
        <v>15</v>
      </c>
      <c r="O130" s="6"/>
      <c r="P130" s="6">
        <v>0.3</v>
      </c>
      <c r="Q130" s="6">
        <f t="shared" si="9"/>
        <v>0.14637931034482743</v>
      </c>
    </row>
    <row r="131" spans="14:17" x14ac:dyDescent="0.25">
      <c r="N131" s="6">
        <v>16</v>
      </c>
      <c r="O131" s="6"/>
      <c r="P131" s="6">
        <v>0.8</v>
      </c>
      <c r="Q131" s="6">
        <f t="shared" si="9"/>
        <v>0.39034482758620653</v>
      </c>
    </row>
    <row r="132" spans="14:17" x14ac:dyDescent="0.25">
      <c r="N132" s="6">
        <v>17</v>
      </c>
      <c r="O132" s="6"/>
      <c r="P132" s="6">
        <v>0.9</v>
      </c>
      <c r="Q132" s="6">
        <f t="shared" si="9"/>
        <v>0.43913793103448234</v>
      </c>
    </row>
    <row r="133" spans="14:17" x14ac:dyDescent="0.25">
      <c r="N133" s="6">
        <v>18</v>
      </c>
      <c r="O133" s="6"/>
      <c r="P133" s="6">
        <v>1</v>
      </c>
      <c r="Q133" s="6">
        <f t="shared" si="9"/>
        <v>0.48793103448275815</v>
      </c>
    </row>
    <row r="134" spans="14:17" x14ac:dyDescent="0.25">
      <c r="N134" s="6">
        <v>19</v>
      </c>
      <c r="O134" s="6"/>
      <c r="P134" s="6">
        <v>0.9</v>
      </c>
      <c r="Q134" s="6">
        <f t="shared" si="9"/>
        <v>0.43913793103448234</v>
      </c>
    </row>
    <row r="135" spans="14:17" x14ac:dyDescent="0.25">
      <c r="N135" s="6">
        <v>20</v>
      </c>
      <c r="O135" s="6"/>
      <c r="P135" s="6">
        <v>0.8</v>
      </c>
      <c r="Q135" s="6">
        <f t="shared" si="9"/>
        <v>0.39034482758620653</v>
      </c>
    </row>
    <row r="136" spans="14:17" x14ac:dyDescent="0.25">
      <c r="N136" s="6">
        <v>21</v>
      </c>
      <c r="O136" s="6"/>
      <c r="P136" s="6">
        <v>0.7</v>
      </c>
      <c r="Q136" s="6">
        <f t="shared" si="9"/>
        <v>0.34155172413793067</v>
      </c>
    </row>
    <row r="137" spans="14:17" x14ac:dyDescent="0.25">
      <c r="N137" s="6">
        <v>22</v>
      </c>
      <c r="O137" s="6"/>
      <c r="P137" s="6">
        <v>0.3</v>
      </c>
      <c r="Q137" s="6">
        <f t="shared" si="9"/>
        <v>0.14637931034482743</v>
      </c>
    </row>
    <row r="138" spans="14:17" x14ac:dyDescent="0.25">
      <c r="N138" s="6">
        <v>23</v>
      </c>
      <c r="O138" s="6"/>
      <c r="P138" s="6">
        <v>0.2</v>
      </c>
      <c r="Q138" s="6">
        <f t="shared" si="9"/>
        <v>9.7586206896551633E-2</v>
      </c>
    </row>
    <row r="139" spans="14:17" x14ac:dyDescent="0.25">
      <c r="O139">
        <f>SUM(O115:O138)</f>
        <v>10.49</v>
      </c>
      <c r="Q139">
        <f>SUM(Q115:Q138)-O139</f>
        <v>5.6599999999999948</v>
      </c>
    </row>
    <row r="140" spans="14:17" x14ac:dyDescent="0.25">
      <c r="O140">
        <v>1.2738636363636364</v>
      </c>
      <c r="Q140">
        <v>0.48793103448275815</v>
      </c>
    </row>
    <row r="141" spans="14:17" x14ac:dyDescent="0.25">
      <c r="N141" s="6" t="s">
        <v>127</v>
      </c>
      <c r="O141" s="6"/>
      <c r="P141" s="6"/>
      <c r="Q141" s="6"/>
    </row>
    <row r="142" spans="14:17" x14ac:dyDescent="0.25">
      <c r="N142" s="6">
        <v>0</v>
      </c>
      <c r="O142" s="6"/>
      <c r="P142" s="6">
        <v>0.1</v>
      </c>
      <c r="Q142" s="6">
        <f>O142+P142*$Q$86</f>
        <v>0.17504424778761046</v>
      </c>
    </row>
    <row r="143" spans="14:17" x14ac:dyDescent="0.25">
      <c r="N143" s="6">
        <v>1</v>
      </c>
      <c r="O143" s="6">
        <v>2.2000000000000002</v>
      </c>
      <c r="P143" s="6">
        <v>0.1</v>
      </c>
      <c r="Q143" s="6">
        <f>O143+P143*$Q$86</f>
        <v>2.3750442477876108</v>
      </c>
    </row>
    <row r="144" spans="14:17" x14ac:dyDescent="0.25">
      <c r="N144" s="6">
        <v>2</v>
      </c>
      <c r="O144" s="6">
        <v>2.2000000000000002</v>
      </c>
      <c r="P144" s="6">
        <v>0.1</v>
      </c>
      <c r="Q144" s="6">
        <f>O143+P144*$Q$86</f>
        <v>2.3750442477876108</v>
      </c>
    </row>
    <row r="145" spans="14:17" x14ac:dyDescent="0.25">
      <c r="N145" s="6">
        <v>3</v>
      </c>
      <c r="O145" s="6">
        <v>0.6</v>
      </c>
      <c r="P145" s="6">
        <v>0.1</v>
      </c>
      <c r="Q145" s="6">
        <f>O144+P145*$Q$86</f>
        <v>2.3750442477876108</v>
      </c>
    </row>
    <row r="146" spans="14:17" x14ac:dyDescent="0.25">
      <c r="N146" s="6">
        <v>4</v>
      </c>
      <c r="O146" s="6"/>
      <c r="P146" s="6">
        <v>0.1</v>
      </c>
      <c r="Q146" s="6">
        <f>O145+P146*$Q$86</f>
        <v>0.7750442477876105</v>
      </c>
    </row>
    <row r="147" spans="14:17" x14ac:dyDescent="0.25">
      <c r="N147" s="6">
        <v>5</v>
      </c>
      <c r="O147" s="6"/>
      <c r="P147" s="6">
        <v>0.7</v>
      </c>
      <c r="Q147" s="6">
        <f t="shared" ref="Q147:Q153" si="10">O147+P147*$Q$86</f>
        <v>1.2253097345132731</v>
      </c>
    </row>
    <row r="148" spans="14:17" x14ac:dyDescent="0.25">
      <c r="N148" s="6">
        <v>6</v>
      </c>
      <c r="O148" s="6"/>
      <c r="P148" s="6">
        <v>0.7</v>
      </c>
      <c r="Q148" s="6">
        <f t="shared" si="10"/>
        <v>1.2253097345132731</v>
      </c>
    </row>
    <row r="149" spans="14:17" x14ac:dyDescent="0.25">
      <c r="N149" s="6">
        <v>7</v>
      </c>
      <c r="O149" s="6"/>
      <c r="P149" s="6">
        <v>0.2</v>
      </c>
      <c r="Q149" s="6">
        <f t="shared" si="10"/>
        <v>0.35008849557522093</v>
      </c>
    </row>
    <row r="150" spans="14:17" x14ac:dyDescent="0.25">
      <c r="N150" s="6">
        <v>8</v>
      </c>
      <c r="O150" s="6"/>
      <c r="P150" s="6">
        <v>0.1</v>
      </c>
      <c r="Q150" s="6">
        <f t="shared" si="10"/>
        <v>0.17504424778761046</v>
      </c>
    </row>
    <row r="151" spans="14:17" x14ac:dyDescent="0.25">
      <c r="N151" s="6">
        <v>9</v>
      </c>
      <c r="O151" s="6"/>
      <c r="P151" s="6">
        <v>0.3</v>
      </c>
      <c r="Q151" s="6">
        <f t="shared" si="10"/>
        <v>0.52513274336283133</v>
      </c>
    </row>
    <row r="152" spans="14:17" x14ac:dyDescent="0.25">
      <c r="N152" s="6">
        <v>10</v>
      </c>
      <c r="O152" s="6"/>
      <c r="P152" s="6">
        <v>0.4</v>
      </c>
      <c r="Q152" s="6">
        <f t="shared" si="10"/>
        <v>0.70017699115044185</v>
      </c>
    </row>
    <row r="153" spans="14:17" x14ac:dyDescent="0.25">
      <c r="N153" s="6">
        <v>11</v>
      </c>
      <c r="O153" s="6"/>
      <c r="P153" s="6">
        <v>0.8</v>
      </c>
      <c r="Q153" s="6">
        <f t="shared" si="10"/>
        <v>1.4003539823008837</v>
      </c>
    </row>
    <row r="154" spans="14:17" x14ac:dyDescent="0.25">
      <c r="N154" s="6">
        <v>12</v>
      </c>
      <c r="O154" s="6">
        <v>0.7</v>
      </c>
      <c r="P154" s="6">
        <v>0.9</v>
      </c>
      <c r="Q154" s="6">
        <f>O154+P154*$Q$86</f>
        <v>2.2753982300884941</v>
      </c>
    </row>
    <row r="155" spans="14:17" x14ac:dyDescent="0.25">
      <c r="N155" s="6">
        <v>13</v>
      </c>
      <c r="O155" s="6"/>
      <c r="P155" s="6">
        <v>0.6</v>
      </c>
      <c r="Q155" s="6">
        <f>O154+P155*$Q$86</f>
        <v>1.7502654867256626</v>
      </c>
    </row>
    <row r="156" spans="14:17" x14ac:dyDescent="0.25">
      <c r="N156" s="6">
        <v>14</v>
      </c>
      <c r="O156" s="6"/>
      <c r="P156" s="6">
        <v>0.5</v>
      </c>
      <c r="Q156" s="6">
        <f>O155+P156*$Q$86</f>
        <v>0.87522123893805226</v>
      </c>
    </row>
    <row r="157" spans="14:17" x14ac:dyDescent="0.25">
      <c r="N157" s="6">
        <v>15</v>
      </c>
      <c r="O157" s="6"/>
      <c r="P157" s="6">
        <v>0.3</v>
      </c>
      <c r="Q157" s="6">
        <f>O156+P157*$Q$86</f>
        <v>0.52513274336283133</v>
      </c>
    </row>
    <row r="158" spans="14:17" x14ac:dyDescent="0.25">
      <c r="N158" s="6">
        <v>16</v>
      </c>
      <c r="O158" s="6"/>
      <c r="P158" s="6">
        <v>0.8</v>
      </c>
      <c r="Q158" s="6">
        <f>O157+P158*$Q$86</f>
        <v>1.4003539823008837</v>
      </c>
    </row>
    <row r="159" spans="14:17" x14ac:dyDescent="0.25">
      <c r="N159" s="6">
        <v>17</v>
      </c>
      <c r="O159" s="6"/>
      <c r="P159" s="6">
        <v>0.9</v>
      </c>
      <c r="Q159" s="6">
        <f t="shared" ref="Q159:Q165" si="11">O159+P159*$Q$86</f>
        <v>1.5753982300884941</v>
      </c>
    </row>
    <row r="160" spans="14:17" x14ac:dyDescent="0.25">
      <c r="N160" s="6">
        <v>18</v>
      </c>
      <c r="O160" s="6"/>
      <c r="P160" s="6">
        <v>1</v>
      </c>
      <c r="Q160" s="6">
        <f t="shared" si="11"/>
        <v>1.7504424778761045</v>
      </c>
    </row>
    <row r="161" spans="14:17" x14ac:dyDescent="0.25">
      <c r="N161" s="6">
        <v>19</v>
      </c>
      <c r="O161" s="6"/>
      <c r="P161" s="6">
        <v>0.9</v>
      </c>
      <c r="Q161" s="6">
        <f t="shared" si="11"/>
        <v>1.5753982300884941</v>
      </c>
    </row>
    <row r="162" spans="14:17" x14ac:dyDescent="0.25">
      <c r="N162" s="6">
        <v>20</v>
      </c>
      <c r="O162" s="6"/>
      <c r="P162" s="6">
        <v>0.8</v>
      </c>
      <c r="Q162" s="6">
        <f t="shared" si="11"/>
        <v>1.4003539823008837</v>
      </c>
    </row>
    <row r="163" spans="14:17" x14ac:dyDescent="0.25">
      <c r="N163" s="6">
        <v>21</v>
      </c>
      <c r="O163" s="6"/>
      <c r="P163" s="6">
        <v>0.7</v>
      </c>
      <c r="Q163" s="6">
        <f t="shared" si="11"/>
        <v>1.2253097345132731</v>
      </c>
    </row>
    <row r="164" spans="14:17" x14ac:dyDescent="0.25">
      <c r="N164" s="6">
        <v>22</v>
      </c>
      <c r="O164" s="6"/>
      <c r="P164" s="6">
        <v>0.3</v>
      </c>
      <c r="Q164" s="6">
        <f t="shared" si="11"/>
        <v>0.52513274336283133</v>
      </c>
    </row>
    <row r="165" spans="14:17" x14ac:dyDescent="0.25">
      <c r="N165" s="6">
        <v>23</v>
      </c>
      <c r="O165" s="6"/>
      <c r="P165" s="6">
        <v>0.2</v>
      </c>
      <c r="Q165" s="6">
        <f t="shared" si="11"/>
        <v>0.35008849557522093</v>
      </c>
    </row>
    <row r="166" spans="14:17" x14ac:dyDescent="0.25">
      <c r="O166">
        <f>SUM(O142:O165)</f>
        <v>5.7</v>
      </c>
      <c r="Q166">
        <f>SUM(Q142:Q165)</f>
        <v>28.905132743362827</v>
      </c>
    </row>
    <row r="167" spans="14:17" x14ac:dyDescent="0.25">
      <c r="O167">
        <v>1.2738636363636364</v>
      </c>
      <c r="Q167">
        <v>0.29999999999999982</v>
      </c>
    </row>
  </sheetData>
  <scenarios current="0" show="0">
    <scenario name="Optimalizace spotřeby na průměr" count="1" user="Marek Havelka" comment="Autor: Marek Havelka dne 14.05.2022_x000a_Autor změny: Marek Havelka dne 14.05.2022">
      <inputCells r="R4" val="8,266"/>
    </scenario>
  </scenarios>
  <mergeCells count="5">
    <mergeCell ref="B2:D2"/>
    <mergeCell ref="N7:U7"/>
    <mergeCell ref="G1:J1"/>
    <mergeCell ref="G16:I16"/>
    <mergeCell ref="G21:I2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5F9F3-459E-42DD-8C4D-31788EF60E25}">
  <dimension ref="C4:D23"/>
  <sheetViews>
    <sheetView workbookViewId="0">
      <selection activeCell="H16" sqref="H16"/>
    </sheetView>
  </sheetViews>
  <sheetFormatPr defaultRowHeight="15.75" x14ac:dyDescent="0.25"/>
  <cols>
    <col min="3" max="3" width="80.625" bestFit="1" customWidth="1"/>
    <col min="4" max="4" width="11.375" bestFit="1" customWidth="1"/>
  </cols>
  <sheetData>
    <row r="4" spans="3:4" x14ac:dyDescent="0.25">
      <c r="C4" s="6" t="s">
        <v>86</v>
      </c>
      <c r="D4" s="6" t="s">
        <v>87</v>
      </c>
    </row>
    <row r="5" spans="3:4" x14ac:dyDescent="0.25">
      <c r="C5" s="6" t="s">
        <v>88</v>
      </c>
      <c r="D5" s="30">
        <v>80000</v>
      </c>
    </row>
    <row r="6" spans="3:4" x14ac:dyDescent="0.25">
      <c r="C6" s="6" t="s">
        <v>89</v>
      </c>
      <c r="D6" s="30">
        <v>100000</v>
      </c>
    </row>
    <row r="7" spans="3:4" x14ac:dyDescent="0.25">
      <c r="C7" s="6" t="s">
        <v>90</v>
      </c>
      <c r="D7" s="30">
        <v>100000</v>
      </c>
    </row>
    <row r="8" spans="3:4" x14ac:dyDescent="0.25">
      <c r="C8" s="6" t="s">
        <v>91</v>
      </c>
      <c r="D8" s="30">
        <v>80000</v>
      </c>
    </row>
    <row r="9" spans="3:4" x14ac:dyDescent="0.25">
      <c r="C9" s="6" t="s">
        <v>92</v>
      </c>
      <c r="D9" s="30">
        <v>140000</v>
      </c>
    </row>
    <row r="10" spans="3:4" x14ac:dyDescent="0.25">
      <c r="C10" s="6" t="s">
        <v>93</v>
      </c>
      <c r="D10" s="30">
        <v>40000</v>
      </c>
    </row>
    <row r="12" spans="3:4" x14ac:dyDescent="0.25">
      <c r="C12" s="6" t="s">
        <v>94</v>
      </c>
      <c r="D12" s="6" t="s">
        <v>87</v>
      </c>
    </row>
    <row r="13" spans="3:4" x14ac:dyDescent="0.25">
      <c r="C13" s="6" t="s">
        <v>95</v>
      </c>
      <c r="D13" s="30">
        <v>40000</v>
      </c>
    </row>
    <row r="14" spans="3:4" x14ac:dyDescent="0.25">
      <c r="C14" s="6" t="s">
        <v>96</v>
      </c>
      <c r="D14" s="30">
        <v>60000</v>
      </c>
    </row>
    <row r="15" spans="3:4" x14ac:dyDescent="0.25">
      <c r="C15" s="6" t="s">
        <v>97</v>
      </c>
      <c r="D15" s="30">
        <v>100000</v>
      </c>
    </row>
    <row r="16" spans="3:4" x14ac:dyDescent="0.25">
      <c r="C16" s="6" t="s">
        <v>98</v>
      </c>
      <c r="D16" s="30">
        <v>10000</v>
      </c>
    </row>
    <row r="17" spans="3:4" x14ac:dyDescent="0.25">
      <c r="C17" s="6" t="s">
        <v>99</v>
      </c>
      <c r="D17" s="30">
        <v>10000</v>
      </c>
    </row>
    <row r="19" spans="3:4" x14ac:dyDescent="0.25">
      <c r="C19" s="6" t="s">
        <v>100</v>
      </c>
      <c r="D19" s="6" t="s">
        <v>87</v>
      </c>
    </row>
    <row r="20" spans="3:4" x14ac:dyDescent="0.25">
      <c r="C20" s="6" t="s">
        <v>101</v>
      </c>
      <c r="D20" s="30">
        <v>60000</v>
      </c>
    </row>
    <row r="21" spans="3:4" x14ac:dyDescent="0.25">
      <c r="C21" s="6" t="s">
        <v>102</v>
      </c>
      <c r="D21" s="30">
        <v>45000</v>
      </c>
    </row>
    <row r="22" spans="3:4" x14ac:dyDescent="0.25">
      <c r="C22" s="6" t="s">
        <v>103</v>
      </c>
      <c r="D22" s="30">
        <v>45000</v>
      </c>
    </row>
    <row r="23" spans="3:4" x14ac:dyDescent="0.25">
      <c r="C23" s="6" t="s">
        <v>104</v>
      </c>
      <c r="D23" s="30">
        <v>45000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981C7-8231-439C-BBA7-C4BF00D49ECA}">
  <dimension ref="B2:AL122"/>
  <sheetViews>
    <sheetView zoomScale="40" zoomScaleNormal="40" workbookViewId="0">
      <selection activeCell="AH31" sqref="AH31"/>
    </sheetView>
  </sheetViews>
  <sheetFormatPr defaultRowHeight="15.75" x14ac:dyDescent="0.25"/>
  <cols>
    <col min="2" max="2" width="66.625" bestFit="1" customWidth="1"/>
    <col min="3" max="3" width="11.625" bestFit="1" customWidth="1"/>
    <col min="5" max="5" width="4.5" bestFit="1" customWidth="1"/>
    <col min="6" max="6" width="30.75" bestFit="1" customWidth="1"/>
    <col min="7" max="7" width="24" bestFit="1" customWidth="1"/>
    <col min="8" max="8" width="25.875" bestFit="1" customWidth="1"/>
    <col min="9" max="9" width="26.875" customWidth="1"/>
    <col min="10" max="10" width="30" bestFit="1" customWidth="1"/>
    <col min="11" max="11" width="23.875" bestFit="1" customWidth="1"/>
    <col min="12" max="12" width="4.5" bestFit="1" customWidth="1"/>
    <col min="13" max="13" width="28.875" bestFit="1" customWidth="1"/>
    <col min="14" max="21" width="12.5" customWidth="1"/>
    <col min="22" max="22" width="4.5" bestFit="1" customWidth="1"/>
    <col min="23" max="23" width="28.875" bestFit="1" customWidth="1"/>
    <col min="24" max="24" width="17.25" bestFit="1" customWidth="1"/>
    <col min="25" max="25" width="12.5" bestFit="1" customWidth="1"/>
    <col min="26" max="26" width="13.25" bestFit="1" customWidth="1"/>
    <col min="27" max="27" width="15.875" bestFit="1" customWidth="1"/>
    <col min="29" max="29" width="4.5" bestFit="1" customWidth="1"/>
    <col min="30" max="30" width="28.875" bestFit="1" customWidth="1"/>
    <col min="31" max="31" width="10.5" bestFit="1" customWidth="1"/>
    <col min="32" max="32" width="12.5" bestFit="1" customWidth="1"/>
    <col min="33" max="33" width="7.375" bestFit="1" customWidth="1"/>
    <col min="34" max="34" width="9.625" bestFit="1" customWidth="1"/>
    <col min="35" max="36" width="8.625" bestFit="1" customWidth="1"/>
    <col min="37" max="37" width="8.875" bestFit="1" customWidth="1"/>
    <col min="38" max="38" width="8.75" bestFit="1" customWidth="1"/>
  </cols>
  <sheetData>
    <row r="2" spans="2:38" x14ac:dyDescent="0.25">
      <c r="B2" s="8" t="s">
        <v>105</v>
      </c>
      <c r="C2" s="8" t="s">
        <v>289</v>
      </c>
      <c r="F2" s="6" t="s">
        <v>168</v>
      </c>
      <c r="G2" s="6" t="s">
        <v>170</v>
      </c>
      <c r="H2" s="6" t="s">
        <v>169</v>
      </c>
    </row>
    <row r="3" spans="2:38" x14ac:dyDescent="0.25">
      <c r="B3" s="8" t="s">
        <v>167</v>
      </c>
      <c r="C3" s="9">
        <v>5</v>
      </c>
      <c r="F3" s="6" t="s">
        <v>172</v>
      </c>
      <c r="G3" s="6" t="s">
        <v>51</v>
      </c>
      <c r="H3" s="10" t="s">
        <v>171</v>
      </c>
    </row>
    <row r="4" spans="2:38" x14ac:dyDescent="0.25">
      <c r="B4" s="8" t="s">
        <v>161</v>
      </c>
      <c r="C4" s="9">
        <v>25</v>
      </c>
      <c r="F4" s="6" t="s">
        <v>173</v>
      </c>
      <c r="G4" s="6" t="s">
        <v>174</v>
      </c>
      <c r="H4" s="10" t="s">
        <v>175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</row>
    <row r="5" spans="2:38" x14ac:dyDescent="0.25">
      <c r="B5" s="8" t="s">
        <v>162</v>
      </c>
      <c r="C5" s="9">
        <v>17</v>
      </c>
      <c r="F5" s="6" t="s">
        <v>176</v>
      </c>
      <c r="G5" s="6" t="s">
        <v>177</v>
      </c>
      <c r="H5" s="10" t="s">
        <v>178</v>
      </c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</row>
    <row r="6" spans="2:38" x14ac:dyDescent="0.25">
      <c r="B6" s="8" t="s">
        <v>288</v>
      </c>
      <c r="C6" s="9">
        <v>52</v>
      </c>
      <c r="F6" s="6" t="s">
        <v>179</v>
      </c>
      <c r="G6" s="6"/>
      <c r="H6" s="10" t="s">
        <v>29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</row>
    <row r="7" spans="2:38" x14ac:dyDescent="0.25">
      <c r="B7" s="8" t="s">
        <v>163</v>
      </c>
      <c r="C7" s="9">
        <v>10</v>
      </c>
      <c r="H7" s="4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spans="2:38" x14ac:dyDescent="0.25">
      <c r="B8" s="8" t="s">
        <v>164</v>
      </c>
      <c r="C8" s="9">
        <v>13</v>
      </c>
      <c r="H8" s="4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</row>
    <row r="9" spans="2:38" x14ac:dyDescent="0.25">
      <c r="B9" s="8" t="s">
        <v>165</v>
      </c>
      <c r="C9" s="9">
        <v>7</v>
      </c>
      <c r="H9" s="4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</row>
    <row r="10" spans="2:38" x14ac:dyDescent="0.25">
      <c r="B10" s="8" t="s">
        <v>180</v>
      </c>
      <c r="C10" s="9">
        <v>13</v>
      </c>
      <c r="H10" s="4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</row>
    <row r="11" spans="2:38" x14ac:dyDescent="0.25">
      <c r="B11" s="8" t="s">
        <v>181</v>
      </c>
      <c r="C11" s="9">
        <v>20</v>
      </c>
      <c r="F11" s="41" t="s">
        <v>264</v>
      </c>
      <c r="G11" s="42"/>
      <c r="H11" s="42"/>
      <c r="I11" s="42"/>
      <c r="J11" s="43"/>
      <c r="M11" s="41" t="s">
        <v>271</v>
      </c>
      <c r="N11" s="42"/>
      <c r="O11" s="42"/>
      <c r="P11" s="42"/>
      <c r="Q11" s="42"/>
      <c r="R11" s="42"/>
      <c r="S11" s="42"/>
      <c r="T11" s="42"/>
      <c r="U11" s="43"/>
      <c r="W11" s="41" t="s">
        <v>274</v>
      </c>
      <c r="X11" s="42"/>
      <c r="Y11" s="42"/>
      <c r="Z11" s="42"/>
      <c r="AA11" s="43"/>
      <c r="AB11" s="18"/>
      <c r="AD11" s="40" t="s">
        <v>344</v>
      </c>
      <c r="AE11" s="40"/>
      <c r="AF11" s="40"/>
      <c r="AG11" s="40"/>
      <c r="AH11" s="40"/>
      <c r="AI11" s="40"/>
      <c r="AJ11" s="40"/>
      <c r="AK11" s="6"/>
      <c r="AL11" s="6"/>
    </row>
    <row r="12" spans="2:38" ht="31.5" x14ac:dyDescent="0.25">
      <c r="B12" s="8" t="s">
        <v>182</v>
      </c>
      <c r="C12" s="9">
        <v>2</v>
      </c>
      <c r="F12" s="6" t="s">
        <v>312</v>
      </c>
      <c r="G12" s="6" t="s">
        <v>313</v>
      </c>
      <c r="H12" s="6" t="s">
        <v>130</v>
      </c>
      <c r="I12" s="6" t="s">
        <v>314</v>
      </c>
      <c r="J12" s="6" t="s">
        <v>315</v>
      </c>
      <c r="M12" s="6" t="s">
        <v>312</v>
      </c>
      <c r="N12" s="36" t="s">
        <v>313</v>
      </c>
      <c r="O12" s="36" t="s">
        <v>130</v>
      </c>
      <c r="P12" s="36" t="s">
        <v>314</v>
      </c>
      <c r="Q12" s="37" t="s">
        <v>327</v>
      </c>
      <c r="R12" s="37" t="s">
        <v>328</v>
      </c>
      <c r="S12" s="37" t="s">
        <v>329</v>
      </c>
      <c r="T12" s="37" t="s">
        <v>331</v>
      </c>
      <c r="U12" s="37" t="s">
        <v>332</v>
      </c>
      <c r="W12" s="6" t="s">
        <v>312</v>
      </c>
      <c r="X12" s="6" t="s">
        <v>313</v>
      </c>
      <c r="Y12" s="6" t="s">
        <v>130</v>
      </c>
      <c r="Z12" s="6" t="s">
        <v>314</v>
      </c>
      <c r="AA12" s="6" t="s">
        <v>315</v>
      </c>
      <c r="AB12" s="18"/>
      <c r="AD12" s="6" t="s">
        <v>312</v>
      </c>
      <c r="AE12" s="36" t="s">
        <v>335</v>
      </c>
      <c r="AF12" s="36" t="s">
        <v>130</v>
      </c>
      <c r="AG12" s="36" t="s">
        <v>314</v>
      </c>
      <c r="AH12" s="37" t="s">
        <v>336</v>
      </c>
      <c r="AI12" s="37" t="s">
        <v>337</v>
      </c>
      <c r="AJ12" s="37" t="s">
        <v>338</v>
      </c>
      <c r="AK12" s="37" t="s">
        <v>339</v>
      </c>
      <c r="AL12" s="37" t="s">
        <v>340</v>
      </c>
    </row>
    <row r="13" spans="2:38" x14ac:dyDescent="0.25">
      <c r="B13" s="8"/>
      <c r="C13" s="9"/>
      <c r="F13" s="6" t="s">
        <v>170</v>
      </c>
      <c r="G13" s="6" t="s">
        <v>114</v>
      </c>
      <c r="H13" s="6" t="s">
        <v>114</v>
      </c>
      <c r="I13" s="6" t="s">
        <v>114</v>
      </c>
      <c r="J13" s="6" t="s">
        <v>114</v>
      </c>
      <c r="M13" s="6" t="s">
        <v>170</v>
      </c>
      <c r="N13" s="6" t="s">
        <v>114</v>
      </c>
      <c r="O13" s="6" t="s">
        <v>114</v>
      </c>
      <c r="P13" s="6" t="s">
        <v>114</v>
      </c>
      <c r="Q13" s="7" t="s">
        <v>114</v>
      </c>
      <c r="R13" s="7" t="s">
        <v>114</v>
      </c>
      <c r="S13" s="6" t="s">
        <v>114</v>
      </c>
      <c r="T13" s="6" t="s">
        <v>114</v>
      </c>
      <c r="U13" s="6" t="s">
        <v>114</v>
      </c>
      <c r="W13" s="6" t="s">
        <v>170</v>
      </c>
      <c r="X13" s="6" t="s">
        <v>114</v>
      </c>
      <c r="Y13" s="6" t="s">
        <v>114</v>
      </c>
      <c r="Z13" s="6" t="s">
        <v>114</v>
      </c>
      <c r="AA13" s="6" t="s">
        <v>114</v>
      </c>
      <c r="AB13" s="18"/>
      <c r="AD13" s="6" t="s">
        <v>170</v>
      </c>
      <c r="AE13" s="6" t="s">
        <v>114</v>
      </c>
      <c r="AF13" s="6" t="s">
        <v>114</v>
      </c>
      <c r="AG13" s="6" t="s">
        <v>114</v>
      </c>
      <c r="AH13" s="7" t="s">
        <v>114</v>
      </c>
      <c r="AI13" s="7" t="s">
        <v>114</v>
      </c>
      <c r="AJ13" s="6" t="s">
        <v>114</v>
      </c>
      <c r="AK13" s="6" t="s">
        <v>114</v>
      </c>
      <c r="AL13" s="6" t="s">
        <v>114</v>
      </c>
    </row>
    <row r="14" spans="2:38" x14ac:dyDescent="0.25">
      <c r="B14" s="8" t="s">
        <v>166</v>
      </c>
      <c r="C14" s="9">
        <f>SUM(C3:C12)</f>
        <v>164</v>
      </c>
      <c r="F14" s="6" t="s">
        <v>118</v>
      </c>
      <c r="G14" s="23">
        <v>6.8527381912556304</v>
      </c>
      <c r="H14" s="23">
        <v>0.34111185164323282</v>
      </c>
      <c r="I14" s="23">
        <f>G14+H14</f>
        <v>7.1938500428988634</v>
      </c>
      <c r="J14" s="6">
        <v>0</v>
      </c>
      <c r="M14" s="6" t="s">
        <v>118</v>
      </c>
      <c r="N14" s="23">
        <v>6.8527381912556304</v>
      </c>
      <c r="O14" s="23">
        <v>0.34111185164323282</v>
      </c>
      <c r="P14" s="23">
        <f>N14+O14</f>
        <v>7.1938500428988634</v>
      </c>
      <c r="Q14" s="23">
        <v>0.20380000000000001</v>
      </c>
      <c r="R14" s="23">
        <v>0.26830711774738725</v>
      </c>
      <c r="S14" s="23">
        <v>0.12181302378442208</v>
      </c>
      <c r="T14" s="23">
        <f>S14</f>
        <v>0.12181302378442208</v>
      </c>
      <c r="U14" s="23">
        <f>R14-Q14</f>
        <v>6.4507117747387238E-2</v>
      </c>
      <c r="W14" s="6" t="s">
        <v>118</v>
      </c>
      <c r="X14" s="23">
        <v>3.4699551172221925</v>
      </c>
      <c r="Y14" s="23">
        <v>0.34111185164323282</v>
      </c>
      <c r="Z14" s="23">
        <f>X14+Y14</f>
        <v>3.8110669688654255</v>
      </c>
      <c r="AA14" s="6">
        <v>0</v>
      </c>
      <c r="AB14" s="18"/>
      <c r="AD14" s="6" t="s">
        <v>118</v>
      </c>
      <c r="AE14" s="23">
        <v>3.4699551172221925</v>
      </c>
      <c r="AF14" s="23">
        <v>0.34111185164323282</v>
      </c>
      <c r="AG14" s="23">
        <f>AE14+AF14</f>
        <v>3.8110669688654255</v>
      </c>
      <c r="AH14" s="23">
        <v>0.20380000000000001</v>
      </c>
      <c r="AI14" s="23">
        <v>0.26830711774738725</v>
      </c>
      <c r="AJ14" s="23">
        <v>0.12181302378442208</v>
      </c>
      <c r="AK14" s="23">
        <f>AJ14</f>
        <v>0.12181302378442208</v>
      </c>
      <c r="AL14" s="23">
        <f>AI14-AH14</f>
        <v>6.4507117747387238E-2</v>
      </c>
    </row>
    <row r="15" spans="2:38" x14ac:dyDescent="0.25">
      <c r="F15" s="6" t="s">
        <v>119</v>
      </c>
      <c r="G15" s="23">
        <v>5.8865437448441211</v>
      </c>
      <c r="H15" s="23">
        <v>0.33539988121016645</v>
      </c>
      <c r="I15" s="23">
        <f t="shared" ref="I15:I18" si="0">G15+H15</f>
        <v>6.221943626054288</v>
      </c>
      <c r="J15" s="6">
        <v>0</v>
      </c>
      <c r="M15" s="6" t="s">
        <v>119</v>
      </c>
      <c r="N15" s="23">
        <v>5.8865437448441211</v>
      </c>
      <c r="O15" s="23">
        <v>0.33539988121016645</v>
      </c>
      <c r="P15" s="23">
        <f t="shared" ref="P15:P18" si="1">N15+O15</f>
        <v>6.221943626054288</v>
      </c>
      <c r="Q15" s="23">
        <v>0.30374000000000001</v>
      </c>
      <c r="R15" s="23">
        <v>0.26381427378382644</v>
      </c>
      <c r="S15" s="23">
        <v>0.1197732459612031</v>
      </c>
      <c r="T15" s="23">
        <f>S15-(Q15-R15)</f>
        <v>7.984751974502953E-2</v>
      </c>
      <c r="U15" s="23">
        <v>0</v>
      </c>
      <c r="W15" s="6" t="s">
        <v>119</v>
      </c>
      <c r="X15" s="23">
        <v>2.9807125298086823</v>
      </c>
      <c r="Y15" s="23">
        <v>0.33539988121016645</v>
      </c>
      <c r="Z15" s="23">
        <f t="shared" ref="Z15:Z18" si="2">X15+Y15</f>
        <v>3.3161124110188487</v>
      </c>
      <c r="AA15" s="6">
        <v>0</v>
      </c>
      <c r="AB15" s="18"/>
      <c r="AD15" s="6" t="s">
        <v>119</v>
      </c>
      <c r="AE15" s="23">
        <v>2.9807125298086823</v>
      </c>
      <c r="AF15" s="23">
        <v>0.33539988121016645</v>
      </c>
      <c r="AG15" s="23">
        <f t="shared" ref="AG15:AG18" si="3">AE15+AF15</f>
        <v>3.3161124110188487</v>
      </c>
      <c r="AH15" s="23">
        <v>0.30374000000000001</v>
      </c>
      <c r="AI15" s="23">
        <v>0.26381427378382644</v>
      </c>
      <c r="AJ15" s="23">
        <v>0.1197732459612031</v>
      </c>
      <c r="AK15" s="23">
        <f>AJ15-(AH15-AI15)</f>
        <v>7.984751974502953E-2</v>
      </c>
      <c r="AL15" s="23">
        <v>0</v>
      </c>
    </row>
    <row r="16" spans="2:38" x14ac:dyDescent="0.25">
      <c r="F16" s="6" t="s">
        <v>120</v>
      </c>
      <c r="G16" s="23">
        <v>5.2202027473189432</v>
      </c>
      <c r="H16" s="23">
        <v>0.33146059125632749</v>
      </c>
      <c r="I16" s="23">
        <f t="shared" si="0"/>
        <v>5.5516633385752705</v>
      </c>
      <c r="J16" s="6">
        <v>0</v>
      </c>
      <c r="M16" s="6" t="s">
        <v>120</v>
      </c>
      <c r="N16" s="23">
        <v>5.2202027473189432</v>
      </c>
      <c r="O16" s="23">
        <f>0.331460591256327-0.099</f>
        <v>0.23246059125632698</v>
      </c>
      <c r="P16" s="23">
        <f t="shared" si="1"/>
        <v>5.4526633385752703</v>
      </c>
      <c r="Q16" s="23">
        <v>0.47790999999999995</v>
      </c>
      <c r="R16" s="23">
        <v>0.26071576070550861</v>
      </c>
      <c r="S16" s="23">
        <v>0.11836650263484515</v>
      </c>
      <c r="T16" s="23">
        <v>0</v>
      </c>
      <c r="U16" s="23">
        <v>0</v>
      </c>
      <c r="W16" s="6" t="s">
        <v>120</v>
      </c>
      <c r="X16" s="23">
        <v>2.6433038488338485</v>
      </c>
      <c r="Y16" s="23">
        <v>0.33146059125632749</v>
      </c>
      <c r="Z16" s="23">
        <f t="shared" si="2"/>
        <v>2.9747644400901758</v>
      </c>
      <c r="AA16" s="6">
        <v>0</v>
      </c>
      <c r="AB16" s="18"/>
      <c r="AD16" s="6" t="s">
        <v>120</v>
      </c>
      <c r="AE16" s="23">
        <v>2.6433038488338485</v>
      </c>
      <c r="AF16" s="23">
        <f>0.331460591256327-0.099</f>
        <v>0.23246059125632698</v>
      </c>
      <c r="AG16" s="23">
        <f t="shared" si="3"/>
        <v>2.8757644400901756</v>
      </c>
      <c r="AH16" s="23">
        <v>0.47790999999999995</v>
      </c>
      <c r="AI16" s="23">
        <v>0.26071576070550861</v>
      </c>
      <c r="AJ16" s="23">
        <v>0.11836650263484515</v>
      </c>
      <c r="AK16" s="23">
        <v>0</v>
      </c>
      <c r="AL16" s="23">
        <v>0</v>
      </c>
    </row>
    <row r="17" spans="2:38" x14ac:dyDescent="0.25">
      <c r="F17" s="6" t="s">
        <v>121</v>
      </c>
      <c r="G17" s="23">
        <v>3.554350253505997</v>
      </c>
      <c r="H17" s="23">
        <v>0.32161236637173019</v>
      </c>
      <c r="I17" s="23">
        <f t="shared" si="0"/>
        <v>3.8759626198777273</v>
      </c>
      <c r="J17" s="6">
        <v>0</v>
      </c>
      <c r="M17" s="6" t="s">
        <v>121</v>
      </c>
      <c r="N17" s="23">
        <v>3.554350253505997</v>
      </c>
      <c r="O17" s="23">
        <f>0.32161236637173-0.247</f>
        <v>7.4612366371730021E-2</v>
      </c>
      <c r="P17" s="23">
        <f t="shared" si="1"/>
        <v>3.6289626198777269</v>
      </c>
      <c r="Q17" s="23">
        <v>0.61435000000000006</v>
      </c>
      <c r="R17" s="23">
        <v>0.25296947800971409</v>
      </c>
      <c r="S17" s="23">
        <v>0.11484964431895031</v>
      </c>
      <c r="T17" s="23">
        <v>0</v>
      </c>
      <c r="U17" s="23">
        <v>0</v>
      </c>
      <c r="W17" s="6" t="s">
        <v>121</v>
      </c>
      <c r="X17" s="23">
        <v>1.7997821463967629</v>
      </c>
      <c r="Y17" s="23">
        <v>0.32161236637173019</v>
      </c>
      <c r="Z17" s="23">
        <f t="shared" si="2"/>
        <v>2.121394512768493</v>
      </c>
      <c r="AA17" s="6">
        <v>0</v>
      </c>
      <c r="AB17" s="18"/>
      <c r="AD17" s="6" t="s">
        <v>121</v>
      </c>
      <c r="AE17" s="23">
        <v>1.7997821463967629</v>
      </c>
      <c r="AF17" s="23">
        <f>0.32161236637173-0.247</f>
        <v>7.4612366371730021E-2</v>
      </c>
      <c r="AG17" s="23">
        <f t="shared" si="3"/>
        <v>1.8743945127684929</v>
      </c>
      <c r="AH17" s="23">
        <v>0.61435000000000006</v>
      </c>
      <c r="AI17" s="23">
        <v>0.25296947800971409</v>
      </c>
      <c r="AJ17" s="23">
        <v>0.11484964431895031</v>
      </c>
      <c r="AK17" s="23">
        <v>0</v>
      </c>
      <c r="AL17" s="23">
        <v>0</v>
      </c>
    </row>
    <row r="18" spans="2:38" x14ac:dyDescent="0.25">
      <c r="F18" s="6" t="s">
        <v>122</v>
      </c>
      <c r="G18" s="23">
        <v>1.8551807098167929</v>
      </c>
      <c r="H18" s="23">
        <v>0.31156717698944103</v>
      </c>
      <c r="I18" s="23">
        <f t="shared" si="0"/>
        <v>2.1667478868062338</v>
      </c>
      <c r="J18" s="6">
        <v>0</v>
      </c>
      <c r="M18" s="6" t="s">
        <v>122</v>
      </c>
      <c r="N18" s="23">
        <v>1.8551807098167929</v>
      </c>
      <c r="O18" s="23">
        <f>0.311567176989441-0.237</f>
        <v>7.4567176989440986E-2</v>
      </c>
      <c r="P18" s="23">
        <f t="shared" si="1"/>
        <v>1.9297478868062339</v>
      </c>
      <c r="Q18" s="23">
        <v>0.59326999999999996</v>
      </c>
      <c r="R18" s="23">
        <v>0.24506826966000378</v>
      </c>
      <c r="S18" s="23">
        <v>0.11126244883673761</v>
      </c>
      <c r="T18" s="23">
        <v>0</v>
      </c>
      <c r="U18" s="23">
        <v>0</v>
      </c>
      <c r="W18" s="6" t="s">
        <v>122</v>
      </c>
      <c r="X18" s="23">
        <v>0.93939000991093646</v>
      </c>
      <c r="Y18" s="23">
        <v>0.31156717698944103</v>
      </c>
      <c r="Z18" s="23">
        <f t="shared" si="2"/>
        <v>1.2509571869003775</v>
      </c>
      <c r="AA18" s="6">
        <v>0</v>
      </c>
      <c r="AB18" s="18"/>
      <c r="AD18" s="6" t="s">
        <v>122</v>
      </c>
      <c r="AE18" s="23">
        <v>0.93939000991093646</v>
      </c>
      <c r="AF18" s="23">
        <f>0.311567176989441-0.237</f>
        <v>7.4567176989440986E-2</v>
      </c>
      <c r="AG18" s="23">
        <f t="shared" si="3"/>
        <v>1.0139571869003774</v>
      </c>
      <c r="AH18" s="23">
        <v>0.59326999999999996</v>
      </c>
      <c r="AI18" s="23">
        <v>0.24506826966000378</v>
      </c>
      <c r="AJ18" s="23">
        <v>0.11126244883673761</v>
      </c>
      <c r="AK18" s="23">
        <v>0</v>
      </c>
      <c r="AL18" s="23">
        <v>0</v>
      </c>
    </row>
    <row r="19" spans="2:38" x14ac:dyDescent="0.25">
      <c r="B19" s="18"/>
      <c r="C19" s="18"/>
      <c r="F19" s="6" t="s">
        <v>123</v>
      </c>
      <c r="G19" s="23">
        <v>0</v>
      </c>
      <c r="H19" s="23">
        <v>0.30605217105406662</v>
      </c>
      <c r="I19" s="23">
        <f>G19</f>
        <v>0</v>
      </c>
      <c r="J19" s="23">
        <f>H19</f>
        <v>0.30605217105406662</v>
      </c>
      <c r="M19" s="6" t="s">
        <v>123</v>
      </c>
      <c r="N19" s="23">
        <v>0</v>
      </c>
      <c r="O19" s="23">
        <f>0.306052171054067-0.241</f>
        <v>6.5052171054067021E-2</v>
      </c>
      <c r="P19" s="23">
        <f>N19</f>
        <v>0</v>
      </c>
      <c r="Q19" s="23">
        <v>0.59128000000000003</v>
      </c>
      <c r="R19" s="23">
        <v>0.24073035135035895</v>
      </c>
      <c r="S19" s="23">
        <v>0.10929300817983653</v>
      </c>
      <c r="T19" s="23">
        <f>O19</f>
        <v>6.5052171054067021E-2</v>
      </c>
      <c r="U19" s="23">
        <v>0</v>
      </c>
      <c r="W19" s="6" t="s">
        <v>123</v>
      </c>
      <c r="X19" s="23">
        <v>0</v>
      </c>
      <c r="Y19" s="23">
        <v>0.30605217105406662</v>
      </c>
      <c r="Z19" s="23">
        <f>X19</f>
        <v>0</v>
      </c>
      <c r="AA19" s="23">
        <f>Y19</f>
        <v>0.30605217105406662</v>
      </c>
      <c r="AB19" s="18"/>
      <c r="AD19" s="6" t="s">
        <v>123</v>
      </c>
      <c r="AE19" s="23">
        <v>0</v>
      </c>
      <c r="AF19" s="23">
        <f>0.306052171054067-0.241</f>
        <v>6.5052171054067021E-2</v>
      </c>
      <c r="AG19" s="23">
        <f>AE19</f>
        <v>0</v>
      </c>
      <c r="AH19" s="23">
        <v>0.59128000000000003</v>
      </c>
      <c r="AI19" s="23">
        <v>0.24073035135035895</v>
      </c>
      <c r="AJ19" s="23">
        <v>0.10929300817983653</v>
      </c>
      <c r="AK19" s="23">
        <f>AF19</f>
        <v>6.5052171054067021E-2</v>
      </c>
      <c r="AL19" s="23">
        <v>0</v>
      </c>
    </row>
    <row r="20" spans="2:38" x14ac:dyDescent="0.25">
      <c r="B20" s="18"/>
      <c r="C20" s="18"/>
      <c r="F20" s="6" t="s">
        <v>124</v>
      </c>
      <c r="G20" s="23">
        <v>0</v>
      </c>
      <c r="H20" s="23">
        <v>0.30211288110022766</v>
      </c>
      <c r="I20" s="23">
        <f t="shared" ref="I20:I21" si="4">G20</f>
        <v>0</v>
      </c>
      <c r="J20" s="23">
        <f t="shared" ref="J20:J21" si="5">H20</f>
        <v>0.30211288110022766</v>
      </c>
      <c r="M20" s="6" t="s">
        <v>124</v>
      </c>
      <c r="N20" s="23">
        <v>0</v>
      </c>
      <c r="O20" s="23">
        <f>0.302112881100228-0.268</f>
        <v>3.4112881100227976E-2</v>
      </c>
      <c r="P20" s="23">
        <f t="shared" ref="P20:P21" si="6">N20</f>
        <v>0</v>
      </c>
      <c r="Q20" s="23">
        <v>0.61365999999999998</v>
      </c>
      <c r="R20" s="23">
        <v>0.2376318382720411</v>
      </c>
      <c r="S20" s="23">
        <v>0.10788626485347859</v>
      </c>
      <c r="T20" s="23">
        <f t="shared" ref="T20:T21" si="7">O20</f>
        <v>3.4112881100227976E-2</v>
      </c>
      <c r="U20" s="23">
        <v>0</v>
      </c>
      <c r="W20" s="6" t="s">
        <v>124</v>
      </c>
      <c r="X20" s="23">
        <v>0</v>
      </c>
      <c r="Y20" s="23">
        <v>0.30211288110022766</v>
      </c>
      <c r="Z20" s="23">
        <f t="shared" ref="Z20:Z21" si="8">X20</f>
        <v>0</v>
      </c>
      <c r="AA20" s="23">
        <f t="shared" ref="AA20:AA21" si="9">Y20</f>
        <v>0.30211288110022766</v>
      </c>
      <c r="AB20" s="18"/>
      <c r="AD20" s="6" t="s">
        <v>124</v>
      </c>
      <c r="AE20" s="23">
        <v>0</v>
      </c>
      <c r="AF20" s="23">
        <f>0.302112881100228-0.268</f>
        <v>3.4112881100227976E-2</v>
      </c>
      <c r="AG20" s="23">
        <f t="shared" ref="AG20:AG21" si="10">AE20</f>
        <v>0</v>
      </c>
      <c r="AH20" s="23">
        <v>0.61365999999999998</v>
      </c>
      <c r="AI20" s="23">
        <v>0.2376318382720411</v>
      </c>
      <c r="AJ20" s="23">
        <v>0.10788626485347859</v>
      </c>
      <c r="AK20" s="23">
        <f t="shared" ref="AK20:AK21" si="11">AF20</f>
        <v>3.4112881100227976E-2</v>
      </c>
      <c r="AL20" s="23">
        <v>0</v>
      </c>
    </row>
    <row r="21" spans="2:38" x14ac:dyDescent="0.25">
      <c r="B21" s="18"/>
      <c r="C21" s="18"/>
      <c r="F21" s="6" t="s">
        <v>125</v>
      </c>
      <c r="G21" s="23">
        <v>0</v>
      </c>
      <c r="H21" s="23">
        <v>0.30309770358868743</v>
      </c>
      <c r="I21" s="23">
        <f t="shared" si="4"/>
        <v>0</v>
      </c>
      <c r="J21" s="23">
        <f t="shared" si="5"/>
        <v>0.30309770358868743</v>
      </c>
      <c r="M21" s="6" t="s">
        <v>125</v>
      </c>
      <c r="N21" s="23">
        <v>0</v>
      </c>
      <c r="O21" s="23">
        <f>0.303097703588687-0.259</f>
        <v>4.4097703588686976E-2</v>
      </c>
      <c r="P21" s="23">
        <f t="shared" si="6"/>
        <v>0</v>
      </c>
      <c r="Q21" s="23">
        <v>0.60553999999999997</v>
      </c>
      <c r="R21" s="23">
        <v>0.23840646654162057</v>
      </c>
      <c r="S21" s="23">
        <v>0.10823795068506809</v>
      </c>
      <c r="T21" s="23">
        <f t="shared" si="7"/>
        <v>4.4097703588686976E-2</v>
      </c>
      <c r="U21" s="23">
        <v>0</v>
      </c>
      <c r="W21" s="6" t="s">
        <v>125</v>
      </c>
      <c r="X21" s="23">
        <v>0</v>
      </c>
      <c r="Y21" s="23">
        <v>0.30309770358868743</v>
      </c>
      <c r="Z21" s="23">
        <f t="shared" si="8"/>
        <v>0</v>
      </c>
      <c r="AA21" s="23">
        <f t="shared" si="9"/>
        <v>0.30309770358868743</v>
      </c>
      <c r="AB21" s="18"/>
      <c r="AD21" s="6" t="s">
        <v>125</v>
      </c>
      <c r="AE21" s="23">
        <v>0</v>
      </c>
      <c r="AF21" s="23">
        <f>0.303097703588687-0.259</f>
        <v>4.4097703588686976E-2</v>
      </c>
      <c r="AG21" s="23">
        <f t="shared" si="10"/>
        <v>0</v>
      </c>
      <c r="AH21" s="23">
        <v>0.60553999999999997</v>
      </c>
      <c r="AI21" s="23">
        <v>0.23840646654162057</v>
      </c>
      <c r="AJ21" s="23">
        <v>0.10823795068506809</v>
      </c>
      <c r="AK21" s="23">
        <f t="shared" si="11"/>
        <v>4.4097703588686976E-2</v>
      </c>
      <c r="AL21" s="23">
        <v>0</v>
      </c>
    </row>
    <row r="22" spans="2:38" x14ac:dyDescent="0.25">
      <c r="B22" s="18"/>
      <c r="C22" s="18"/>
      <c r="F22" s="6" t="s">
        <v>126</v>
      </c>
      <c r="G22" s="23">
        <v>1.9218148095693104</v>
      </c>
      <c r="H22" s="23">
        <v>0.3119611059848249</v>
      </c>
      <c r="I22" s="23">
        <f>G22+H22</f>
        <v>2.2337759155541352</v>
      </c>
      <c r="J22" s="6">
        <v>0</v>
      </c>
      <c r="M22" s="6" t="s">
        <v>126</v>
      </c>
      <c r="N22" s="23">
        <v>1.9218148095693104</v>
      </c>
      <c r="O22" s="23">
        <f>0.311961105984825-0.172</f>
        <v>0.13996110598482503</v>
      </c>
      <c r="P22" s="23">
        <f>N22+O22</f>
        <v>2.0617759155541355</v>
      </c>
      <c r="Q22" s="23">
        <v>0.52840000000000009</v>
      </c>
      <c r="R22" s="23">
        <v>0.24537812096783557</v>
      </c>
      <c r="S22" s="23">
        <v>0.1114031231693734</v>
      </c>
      <c r="T22" s="23">
        <v>0</v>
      </c>
      <c r="U22" s="23">
        <v>0</v>
      </c>
      <c r="W22" s="6" t="s">
        <v>126</v>
      </c>
      <c r="X22" s="23">
        <v>0.97313087800841969</v>
      </c>
      <c r="Y22" s="23">
        <v>0.3119611059848249</v>
      </c>
      <c r="Z22" s="23">
        <f>X22+Y22</f>
        <v>1.2850919839932446</v>
      </c>
      <c r="AA22" s="6">
        <v>0</v>
      </c>
      <c r="AB22" s="18"/>
      <c r="AD22" s="6" t="s">
        <v>126</v>
      </c>
      <c r="AE22" s="23">
        <v>0.97313087800841969</v>
      </c>
      <c r="AF22" s="23">
        <f>0.311961105984825-0.172</f>
        <v>0.13996110598482503</v>
      </c>
      <c r="AG22" s="23">
        <f>AE22+AF22</f>
        <v>1.1130919839932447</v>
      </c>
      <c r="AH22" s="23">
        <v>0.52840000000000009</v>
      </c>
      <c r="AI22" s="23">
        <v>0.24537812096783557</v>
      </c>
      <c r="AJ22" s="23">
        <v>0.1114031231693734</v>
      </c>
      <c r="AK22" s="23">
        <v>0</v>
      </c>
      <c r="AL22" s="23">
        <v>0</v>
      </c>
    </row>
    <row r="23" spans="2:38" x14ac:dyDescent="0.25">
      <c r="B23" s="18"/>
      <c r="C23" s="18"/>
      <c r="F23" s="6" t="s">
        <v>127</v>
      </c>
      <c r="G23" s="23">
        <v>3.4877161537534791</v>
      </c>
      <c r="H23" s="23">
        <v>0.32121843737634631</v>
      </c>
      <c r="I23" s="23">
        <f t="shared" ref="I23:I25" si="12">G23+H23</f>
        <v>3.8089345911298254</v>
      </c>
      <c r="J23" s="6">
        <v>0</v>
      </c>
      <c r="M23" s="6" t="s">
        <v>127</v>
      </c>
      <c r="N23" s="23">
        <v>3.4877161537534791</v>
      </c>
      <c r="O23" s="23">
        <f>0.321218437376346-0.036</f>
        <v>0.285218437376346</v>
      </c>
      <c r="P23" s="23">
        <f t="shared" ref="P23:P25" si="13">N23+O23</f>
        <v>3.7729345911298253</v>
      </c>
      <c r="Q23" s="23">
        <v>0.40316999999999997</v>
      </c>
      <c r="R23" s="23">
        <v>0.25265962670188236</v>
      </c>
      <c r="S23" s="23">
        <v>0.11470896998631452</v>
      </c>
      <c r="T23" s="23">
        <v>0</v>
      </c>
      <c r="U23" s="23">
        <v>0</v>
      </c>
      <c r="W23" s="6" t="s">
        <v>127</v>
      </c>
      <c r="X23" s="23">
        <v>1.7660412782992796</v>
      </c>
      <c r="Y23" s="23">
        <v>0.32121843737634631</v>
      </c>
      <c r="Z23" s="23">
        <f t="shared" ref="Z23:Z25" si="14">X23+Y23</f>
        <v>2.0872597156756258</v>
      </c>
      <c r="AA23" s="6">
        <v>0</v>
      </c>
      <c r="AB23" s="18"/>
      <c r="AD23" s="6" t="s">
        <v>127</v>
      </c>
      <c r="AE23" s="23">
        <v>1.7660412782992796</v>
      </c>
      <c r="AF23" s="23">
        <f>0.321218437376346-0.036</f>
        <v>0.285218437376346</v>
      </c>
      <c r="AG23" s="23">
        <f t="shared" ref="AG23:AG25" si="15">AE23+AF23</f>
        <v>2.0512597156756254</v>
      </c>
      <c r="AH23" s="23">
        <v>0.40316999999999997</v>
      </c>
      <c r="AI23" s="23">
        <v>0.25265962670188236</v>
      </c>
      <c r="AJ23" s="23">
        <v>0.11470896998631452</v>
      </c>
      <c r="AK23" s="23">
        <v>0</v>
      </c>
      <c r="AL23" s="23">
        <v>0</v>
      </c>
    </row>
    <row r="24" spans="2:38" x14ac:dyDescent="0.25">
      <c r="B24" s="18"/>
      <c r="C24" s="18"/>
      <c r="F24" s="6" t="s">
        <v>128</v>
      </c>
      <c r="G24" s="23">
        <v>5.2202027473189432</v>
      </c>
      <c r="H24" s="23">
        <v>0.33146059125632749</v>
      </c>
      <c r="I24" s="23">
        <f t="shared" si="12"/>
        <v>5.5516633385752705</v>
      </c>
      <c r="J24" s="6">
        <v>0</v>
      </c>
      <c r="M24" s="6" t="s">
        <v>128</v>
      </c>
      <c r="N24" s="23">
        <v>5.2202027473189432</v>
      </c>
      <c r="O24" s="23">
        <v>0.33146059125632749</v>
      </c>
      <c r="P24" s="23">
        <f t="shared" si="13"/>
        <v>5.5516633385752705</v>
      </c>
      <c r="Q24" s="23">
        <v>0.23233999999999996</v>
      </c>
      <c r="R24" s="23">
        <v>0.26071576070550861</v>
      </c>
      <c r="S24" s="23">
        <v>0.11836650263484515</v>
      </c>
      <c r="T24" s="23">
        <f t="shared" ref="T24:T25" si="16">S24-(Q24-R24)</f>
        <v>0.14674226334035378</v>
      </c>
      <c r="U24" s="23">
        <f t="shared" ref="U24:U25" si="17">R24-Q24</f>
        <v>2.8375760705508651E-2</v>
      </c>
      <c r="W24" s="6" t="s">
        <v>128</v>
      </c>
      <c r="X24" s="23">
        <v>2.6433038488338485</v>
      </c>
      <c r="Y24" s="23">
        <v>0.33146059125632749</v>
      </c>
      <c r="Z24" s="23">
        <f t="shared" si="14"/>
        <v>2.9747644400901758</v>
      </c>
      <c r="AA24" s="6">
        <v>0</v>
      </c>
      <c r="AB24" s="18"/>
      <c r="AD24" s="6" t="s">
        <v>128</v>
      </c>
      <c r="AE24" s="23">
        <v>2.6433038488338485</v>
      </c>
      <c r="AF24" s="23">
        <v>0.33146059125632749</v>
      </c>
      <c r="AG24" s="23">
        <f t="shared" si="15"/>
        <v>2.9747644400901758</v>
      </c>
      <c r="AH24" s="23">
        <v>0.23233999999999996</v>
      </c>
      <c r="AI24" s="23">
        <v>0.26071576070550861</v>
      </c>
      <c r="AJ24" s="23">
        <v>0.11836650263484515</v>
      </c>
      <c r="AK24" s="23">
        <f t="shared" ref="AK24:AK25" si="18">AJ24-(AH24-AI24)</f>
        <v>0.14674226334035378</v>
      </c>
      <c r="AL24" s="23">
        <f t="shared" ref="AL24:AL25" si="19">AI24-AH24</f>
        <v>2.8375760705508651E-2</v>
      </c>
    </row>
    <row r="25" spans="2:38" x14ac:dyDescent="0.25">
      <c r="B25" s="18"/>
      <c r="C25" s="18"/>
      <c r="F25" s="6" t="s">
        <v>129</v>
      </c>
      <c r="G25" s="23">
        <v>6.4862506426167794</v>
      </c>
      <c r="H25" s="23">
        <v>0.33894524216862143</v>
      </c>
      <c r="I25" s="23">
        <f t="shared" si="12"/>
        <v>6.8251958847854013</v>
      </c>
      <c r="J25" s="6">
        <v>0</v>
      </c>
      <c r="M25" s="6" t="s">
        <v>129</v>
      </c>
      <c r="N25" s="23">
        <v>6.4862506426167794</v>
      </c>
      <c r="O25" s="23">
        <v>0.33894524216862143</v>
      </c>
      <c r="P25" s="23">
        <f t="shared" si="13"/>
        <v>6.8251958847854013</v>
      </c>
      <c r="Q25" s="23">
        <v>0.20730999999999999</v>
      </c>
      <c r="R25" s="23">
        <v>0.26660293555431241</v>
      </c>
      <c r="S25" s="23">
        <v>0.12103931495492522</v>
      </c>
      <c r="T25" s="23">
        <f t="shared" si="16"/>
        <v>0.18033225050923762</v>
      </c>
      <c r="U25" s="23">
        <f t="shared" si="17"/>
        <v>5.929293555431242E-2</v>
      </c>
      <c r="W25" s="6" t="s">
        <v>129</v>
      </c>
      <c r="X25" s="23">
        <v>3.2843803426860321</v>
      </c>
      <c r="Y25" s="23">
        <v>0.33894524216862143</v>
      </c>
      <c r="Z25" s="23">
        <f t="shared" si="14"/>
        <v>3.6233255848546535</v>
      </c>
      <c r="AA25" s="6">
        <v>0</v>
      </c>
      <c r="AB25" s="18"/>
      <c r="AD25" s="6" t="s">
        <v>129</v>
      </c>
      <c r="AE25" s="23">
        <v>3.2843803426860321</v>
      </c>
      <c r="AF25" s="23">
        <v>0.33894524216862143</v>
      </c>
      <c r="AG25" s="23">
        <f t="shared" si="15"/>
        <v>3.6233255848546535</v>
      </c>
      <c r="AH25" s="23">
        <v>0.20730999999999999</v>
      </c>
      <c r="AI25" s="23">
        <v>0.26660293555431241</v>
      </c>
      <c r="AJ25" s="23">
        <v>0.12103931495492522</v>
      </c>
      <c r="AK25" s="23">
        <f t="shared" si="18"/>
        <v>0.18033225050923762</v>
      </c>
      <c r="AL25" s="23">
        <f t="shared" si="19"/>
        <v>5.929293555431242E-2</v>
      </c>
    </row>
    <row r="26" spans="2:38" x14ac:dyDescent="0.25">
      <c r="B26" s="18"/>
      <c r="C26" s="18"/>
      <c r="F26" s="7" t="s">
        <v>166</v>
      </c>
      <c r="G26" s="23">
        <f>SUM(G14:G25)</f>
        <v>40.484999999999999</v>
      </c>
      <c r="H26" s="23">
        <f t="shared" ref="H26:J26" si="20">SUM(H14:H25)</f>
        <v>3.8559999999999999</v>
      </c>
      <c r="I26" s="23">
        <f t="shared" si="20"/>
        <v>43.429737244257012</v>
      </c>
      <c r="J26" s="23">
        <f t="shared" si="20"/>
        <v>0.91126275574298177</v>
      </c>
      <c r="M26" s="7" t="s">
        <v>166</v>
      </c>
      <c r="N26" s="23">
        <f>SUM(N14:N25)</f>
        <v>40.484999999999999</v>
      </c>
      <c r="O26" s="23">
        <f t="shared" ref="O26:U26" si="21">SUM(O14:O25)</f>
        <v>2.2969999999999993</v>
      </c>
      <c r="P26" s="23">
        <f t="shared" si="21"/>
        <v>42.638737244257015</v>
      </c>
      <c r="Q26" s="23">
        <f t="shared" si="21"/>
        <v>5.3747699999999998</v>
      </c>
      <c r="R26" s="23">
        <f t="shared" si="21"/>
        <v>3.0329999999999995</v>
      </c>
      <c r="S26" s="23">
        <f t="shared" si="21"/>
        <v>1.3769999999999998</v>
      </c>
      <c r="T26" s="23">
        <f t="shared" si="21"/>
        <v>0.671997813122025</v>
      </c>
      <c r="U26" s="23">
        <f t="shared" si="21"/>
        <v>0.15217581400720831</v>
      </c>
      <c r="W26" s="7" t="s">
        <v>166</v>
      </c>
      <c r="X26" s="23">
        <f>SUM(X14:X25)</f>
        <v>20.500000000000004</v>
      </c>
      <c r="Y26" s="23">
        <f t="shared" ref="Y26:AA26" si="22">SUM(Y14:Y25)</f>
        <v>3.8559999999999999</v>
      </c>
      <c r="Z26" s="23">
        <f t="shared" si="22"/>
        <v>23.44473724425702</v>
      </c>
      <c r="AA26" s="23">
        <f t="shared" si="22"/>
        <v>0.91126275574298177</v>
      </c>
      <c r="AB26" s="18"/>
      <c r="AD26" s="7" t="s">
        <v>166</v>
      </c>
      <c r="AE26" s="23">
        <f>SUM(AE14:AE25)</f>
        <v>20.500000000000004</v>
      </c>
      <c r="AF26" s="23">
        <f t="shared" ref="AF26:AL26" si="23">SUM(AF14:AF25)</f>
        <v>2.2969999999999993</v>
      </c>
      <c r="AG26" s="23">
        <f t="shared" si="23"/>
        <v>22.653737244257023</v>
      </c>
      <c r="AH26" s="23">
        <f t="shared" si="23"/>
        <v>5.3747699999999998</v>
      </c>
      <c r="AI26" s="23">
        <f t="shared" si="23"/>
        <v>3.0329999999999995</v>
      </c>
      <c r="AJ26" s="23">
        <f t="shared" si="23"/>
        <v>1.3769999999999998</v>
      </c>
      <c r="AK26" s="23">
        <f t="shared" si="23"/>
        <v>0.671997813122025</v>
      </c>
      <c r="AL26" s="23">
        <f t="shared" si="23"/>
        <v>0.15217581400720831</v>
      </c>
    </row>
    <row r="27" spans="2:38" x14ac:dyDescent="0.25">
      <c r="B27" s="18"/>
      <c r="C27" s="18"/>
      <c r="Q27" s="18"/>
      <c r="R27" s="18"/>
      <c r="S27" s="18"/>
      <c r="T27" s="18"/>
      <c r="U27" s="18"/>
      <c r="AB27" s="18"/>
      <c r="AH27" s="18"/>
      <c r="AI27" s="18"/>
      <c r="AJ27" s="18"/>
      <c r="AK27" s="18"/>
      <c r="AL27" s="18"/>
    </row>
    <row r="28" spans="2:38" x14ac:dyDescent="0.25">
      <c r="B28" s="18"/>
      <c r="C28" s="18"/>
      <c r="H28" s="22"/>
      <c r="O28" s="22"/>
      <c r="Q28" s="27"/>
      <c r="R28" s="18"/>
      <c r="S28" s="18"/>
      <c r="T28" s="18"/>
      <c r="U28" s="18"/>
      <c r="Y28" s="22"/>
      <c r="AB28" s="18"/>
      <c r="AF28" s="22"/>
      <c r="AH28" s="27"/>
      <c r="AI28" s="18"/>
      <c r="AJ28" s="18"/>
      <c r="AK28" s="18"/>
      <c r="AL28" s="18"/>
    </row>
    <row r="29" spans="2:38" x14ac:dyDescent="0.25">
      <c r="B29" s="18"/>
      <c r="C29" s="18"/>
      <c r="H29" s="22"/>
      <c r="O29" s="22"/>
      <c r="Q29" s="27"/>
      <c r="R29" s="18"/>
      <c r="S29" s="18"/>
      <c r="T29" s="18"/>
      <c r="U29" s="18"/>
      <c r="Y29" s="22"/>
      <c r="AB29" s="18"/>
      <c r="AF29" s="22"/>
      <c r="AH29" s="27"/>
      <c r="AI29" s="18"/>
      <c r="AJ29" s="18"/>
      <c r="AK29" s="18"/>
      <c r="AL29" s="18"/>
    </row>
    <row r="30" spans="2:38" x14ac:dyDescent="0.25">
      <c r="B30" s="40" t="s">
        <v>306</v>
      </c>
      <c r="C30" s="40"/>
      <c r="D30" s="40"/>
      <c r="F30" s="6" t="s">
        <v>265</v>
      </c>
      <c r="G30" s="6" t="s">
        <v>114</v>
      </c>
      <c r="H30" s="24">
        <f>I26</f>
        <v>43.429737244257012</v>
      </c>
      <c r="M30" s="6" t="s">
        <v>265</v>
      </c>
      <c r="N30" s="6" t="s">
        <v>114</v>
      </c>
      <c r="O30" s="24">
        <f>P26</f>
        <v>42.638737244257015</v>
      </c>
      <c r="Q30" s="25"/>
      <c r="R30" s="18"/>
      <c r="S30" s="18"/>
      <c r="T30" s="18"/>
      <c r="U30" s="18"/>
      <c r="W30" s="6" t="s">
        <v>265</v>
      </c>
      <c r="X30" s="6" t="s">
        <v>114</v>
      </c>
      <c r="Y30" s="24">
        <f>Z26</f>
        <v>23.44473724425702</v>
      </c>
      <c r="AB30" s="18"/>
      <c r="AD30" s="6" t="s">
        <v>265</v>
      </c>
      <c r="AE30" s="6" t="s">
        <v>114</v>
      </c>
      <c r="AF30" s="24">
        <f>AG26</f>
        <v>22.653737244257023</v>
      </c>
      <c r="AH30" s="25"/>
      <c r="AI30" s="18"/>
      <c r="AJ30" s="18"/>
      <c r="AK30" s="18"/>
      <c r="AL30" s="18"/>
    </row>
    <row r="31" spans="2:38" x14ac:dyDescent="0.25">
      <c r="B31" s="6" t="s">
        <v>305</v>
      </c>
      <c r="C31" s="6" t="s">
        <v>170</v>
      </c>
      <c r="D31" s="6" t="s">
        <v>160</v>
      </c>
      <c r="F31" s="6" t="s">
        <v>266</v>
      </c>
      <c r="G31" s="6" t="s">
        <v>0</v>
      </c>
      <c r="H31" s="24">
        <v>0.90300000000000002</v>
      </c>
      <c r="M31" s="6" t="s">
        <v>266</v>
      </c>
      <c r="N31" s="6" t="s">
        <v>0</v>
      </c>
      <c r="O31" s="24">
        <v>0.90300000000000002</v>
      </c>
      <c r="Q31" s="25"/>
      <c r="R31" s="18"/>
      <c r="S31" s="18"/>
      <c r="T31" s="18"/>
      <c r="U31" s="18"/>
      <c r="W31" s="6" t="s">
        <v>266</v>
      </c>
      <c r="X31" s="6" t="s">
        <v>0</v>
      </c>
      <c r="Y31" s="24">
        <v>0.90300000000000002</v>
      </c>
      <c r="AB31" s="18"/>
      <c r="AD31" s="6" t="s">
        <v>266</v>
      </c>
      <c r="AE31" s="6" t="s">
        <v>0</v>
      </c>
      <c r="AF31" s="24">
        <v>0.90300000000000002</v>
      </c>
      <c r="AH31" s="25"/>
      <c r="AI31" s="18"/>
      <c r="AJ31" s="18"/>
      <c r="AK31" s="18"/>
      <c r="AL31" s="18"/>
    </row>
    <row r="32" spans="2:38" x14ac:dyDescent="0.25">
      <c r="B32" s="6" t="s">
        <v>295</v>
      </c>
      <c r="C32" s="6" t="s">
        <v>268</v>
      </c>
      <c r="D32" s="6">
        <v>3797</v>
      </c>
      <c r="F32" s="6" t="s">
        <v>308</v>
      </c>
      <c r="G32" s="6" t="s">
        <v>114</v>
      </c>
      <c r="H32" s="24">
        <f>H30/H31</f>
        <v>48.094947114348848</v>
      </c>
      <c r="M32" s="6" t="s">
        <v>308</v>
      </c>
      <c r="N32" s="6" t="s">
        <v>114</v>
      </c>
      <c r="O32" s="24">
        <f>O30/O31</f>
        <v>47.218978122100793</v>
      </c>
      <c r="Q32" s="25"/>
      <c r="R32" s="18"/>
      <c r="S32" s="18"/>
      <c r="T32" s="18"/>
      <c r="U32" s="18"/>
      <c r="W32" s="6" t="s">
        <v>308</v>
      </c>
      <c r="X32" s="6" t="s">
        <v>114</v>
      </c>
      <c r="Y32" s="24">
        <f>Y30/Y31</f>
        <v>25.963164168612426</v>
      </c>
      <c r="AB32" s="18"/>
      <c r="AD32" s="6" t="s">
        <v>308</v>
      </c>
      <c r="AE32" s="6" t="s">
        <v>114</v>
      </c>
      <c r="AF32" s="24">
        <f>AF30/AF31</f>
        <v>25.087195176364364</v>
      </c>
      <c r="AH32" s="25"/>
      <c r="AI32" s="18"/>
      <c r="AJ32" s="18"/>
      <c r="AK32" s="18"/>
      <c r="AL32" s="18"/>
    </row>
    <row r="33" spans="2:38" x14ac:dyDescent="0.25">
      <c r="B33" s="6" t="s">
        <v>294</v>
      </c>
      <c r="C33" s="6" t="s">
        <v>268</v>
      </c>
      <c r="D33" s="6">
        <v>2202</v>
      </c>
      <c r="F33" s="6" t="s">
        <v>243</v>
      </c>
      <c r="G33" s="6" t="s">
        <v>244</v>
      </c>
      <c r="H33" s="24">
        <v>16.5</v>
      </c>
      <c r="M33" s="6" t="s">
        <v>243</v>
      </c>
      <c r="N33" s="6" t="s">
        <v>244</v>
      </c>
      <c r="O33" s="24">
        <v>16.5</v>
      </c>
      <c r="Q33" s="25"/>
      <c r="R33" s="18"/>
      <c r="S33" s="18"/>
      <c r="T33" s="18"/>
      <c r="U33" s="18"/>
      <c r="W33" s="6" t="s">
        <v>243</v>
      </c>
      <c r="X33" s="6" t="s">
        <v>244</v>
      </c>
      <c r="Y33" s="24">
        <v>16.5</v>
      </c>
      <c r="AB33" s="18"/>
      <c r="AD33" s="6" t="s">
        <v>243</v>
      </c>
      <c r="AE33" s="6" t="s">
        <v>244</v>
      </c>
      <c r="AF33" s="24">
        <v>16.5</v>
      </c>
      <c r="AH33" s="25"/>
      <c r="AI33" s="18"/>
      <c r="AJ33" s="18"/>
      <c r="AK33" s="18"/>
      <c r="AL33" s="18"/>
    </row>
    <row r="34" spans="2:38" x14ac:dyDescent="0.25">
      <c r="B34" s="6" t="s">
        <v>297</v>
      </c>
      <c r="C34" s="6" t="s">
        <v>268</v>
      </c>
      <c r="D34" s="6">
        <v>2165</v>
      </c>
      <c r="F34" s="6" t="s">
        <v>243</v>
      </c>
      <c r="G34" s="6" t="s">
        <v>245</v>
      </c>
      <c r="H34" s="26">
        <f>H33/3600</f>
        <v>4.5833333333333334E-3</v>
      </c>
      <c r="M34" s="6" t="s">
        <v>243</v>
      </c>
      <c r="N34" s="6" t="s">
        <v>245</v>
      </c>
      <c r="O34" s="26">
        <f>O33/3600</f>
        <v>4.5833333333333334E-3</v>
      </c>
      <c r="Q34" s="25"/>
      <c r="R34" s="18"/>
      <c r="S34" s="18"/>
      <c r="T34" s="18"/>
      <c r="U34" s="18"/>
      <c r="W34" s="6" t="s">
        <v>243</v>
      </c>
      <c r="X34" s="6" t="s">
        <v>245</v>
      </c>
      <c r="Y34" s="26">
        <f>Y33/3600</f>
        <v>4.5833333333333334E-3</v>
      </c>
      <c r="AB34" s="18"/>
      <c r="AD34" s="6" t="s">
        <v>243</v>
      </c>
      <c r="AE34" s="6" t="s">
        <v>245</v>
      </c>
      <c r="AF34" s="26">
        <f>AF33/3600</f>
        <v>4.5833333333333334E-3</v>
      </c>
      <c r="AH34" s="25"/>
      <c r="AI34" s="18"/>
      <c r="AJ34" s="18"/>
      <c r="AK34" s="18"/>
      <c r="AL34" s="18"/>
    </row>
    <row r="35" spans="2:38" x14ac:dyDescent="0.25">
      <c r="B35" s="6" t="s">
        <v>296</v>
      </c>
      <c r="C35" s="6" t="s">
        <v>268</v>
      </c>
      <c r="D35" s="6">
        <v>229</v>
      </c>
      <c r="F35" s="6" t="s">
        <v>246</v>
      </c>
      <c r="G35" s="6" t="s">
        <v>309</v>
      </c>
      <c r="H35" s="24">
        <f>H32/(H34*1000)</f>
        <v>10.493443006767022</v>
      </c>
      <c r="M35" s="6" t="s">
        <v>246</v>
      </c>
      <c r="N35" s="6" t="s">
        <v>309</v>
      </c>
      <c r="O35" s="24">
        <f>O32/(O34*1000)</f>
        <v>10.302322499367447</v>
      </c>
      <c r="Q35" s="25"/>
      <c r="R35" s="18"/>
      <c r="S35" s="18"/>
      <c r="T35" s="18"/>
      <c r="U35" s="18"/>
      <c r="W35" s="6" t="s">
        <v>246</v>
      </c>
      <c r="X35" s="6" t="s">
        <v>309</v>
      </c>
      <c r="Y35" s="24">
        <f>Y32/(Y34*1000)</f>
        <v>5.6646903640608937</v>
      </c>
      <c r="AB35" s="18"/>
      <c r="AD35" s="6" t="s">
        <v>246</v>
      </c>
      <c r="AE35" s="6" t="s">
        <v>309</v>
      </c>
      <c r="AF35" s="24">
        <f>AF32/(AF34*1000)</f>
        <v>5.4735698566613165</v>
      </c>
      <c r="AH35" s="25"/>
      <c r="AI35" s="18"/>
      <c r="AJ35" s="18"/>
      <c r="AK35" s="18"/>
      <c r="AL35" s="18"/>
    </row>
    <row r="36" spans="2:38" x14ac:dyDescent="0.25">
      <c r="B36" s="6" t="s">
        <v>298</v>
      </c>
      <c r="C36" s="6" t="s">
        <v>299</v>
      </c>
      <c r="D36" s="6">
        <v>184</v>
      </c>
      <c r="F36" s="6" t="s">
        <v>247</v>
      </c>
      <c r="G36" s="6" t="s">
        <v>310</v>
      </c>
      <c r="H36" s="24">
        <v>7360</v>
      </c>
      <c r="M36" s="6" t="s">
        <v>247</v>
      </c>
      <c r="N36" s="6" t="s">
        <v>310</v>
      </c>
      <c r="O36" s="24">
        <v>7360</v>
      </c>
      <c r="Q36" s="25"/>
      <c r="R36" s="18"/>
      <c r="S36" s="18"/>
      <c r="T36" s="18"/>
      <c r="U36" s="18"/>
      <c r="W36" s="6" t="s">
        <v>247</v>
      </c>
      <c r="X36" s="6" t="s">
        <v>310</v>
      </c>
      <c r="Y36" s="24">
        <v>7360</v>
      </c>
      <c r="AB36" s="18"/>
      <c r="AD36" s="6" t="s">
        <v>247</v>
      </c>
      <c r="AE36" s="6" t="s">
        <v>310</v>
      </c>
      <c r="AF36" s="24">
        <v>7360</v>
      </c>
      <c r="AH36" s="25"/>
      <c r="AI36" s="18"/>
      <c r="AJ36" s="18"/>
      <c r="AK36" s="18"/>
      <c r="AL36" s="18"/>
    </row>
    <row r="37" spans="2:38" x14ac:dyDescent="0.25">
      <c r="B37" s="6" t="s">
        <v>300</v>
      </c>
      <c r="C37" s="6" t="s">
        <v>268</v>
      </c>
      <c r="D37" s="6">
        <v>34.24</v>
      </c>
      <c r="F37" s="6" t="s">
        <v>248</v>
      </c>
      <c r="G37" s="6" t="s">
        <v>311</v>
      </c>
      <c r="H37" s="32">
        <f>H35*H36/1000</f>
        <v>77.231740529805279</v>
      </c>
      <c r="M37" s="6" t="s">
        <v>248</v>
      </c>
      <c r="N37" s="6" t="s">
        <v>311</v>
      </c>
      <c r="O37" s="32">
        <f>O35*O36/1000</f>
        <v>75.825093595344413</v>
      </c>
      <c r="Q37" s="25"/>
      <c r="R37" s="18"/>
      <c r="S37" s="18"/>
      <c r="T37" s="18"/>
      <c r="U37" s="18"/>
      <c r="W37" s="6" t="s">
        <v>248</v>
      </c>
      <c r="X37" s="6" t="s">
        <v>311</v>
      </c>
      <c r="Y37" s="32">
        <f>Y35*Y36/1000</f>
        <v>41.692121079488174</v>
      </c>
      <c r="AB37" s="18"/>
      <c r="AD37" s="6" t="s">
        <v>248</v>
      </c>
      <c r="AE37" s="6" t="s">
        <v>311</v>
      </c>
      <c r="AF37" s="32">
        <f>AF35*AF36/1000</f>
        <v>40.285474145027294</v>
      </c>
      <c r="AH37" s="25"/>
      <c r="AI37" s="18"/>
      <c r="AJ37" s="18"/>
      <c r="AK37" s="18"/>
      <c r="AL37" s="18"/>
    </row>
    <row r="38" spans="2:38" x14ac:dyDescent="0.25">
      <c r="B38" s="6" t="s">
        <v>301</v>
      </c>
      <c r="C38" s="6" t="s">
        <v>268</v>
      </c>
      <c r="D38" s="6">
        <v>137.37</v>
      </c>
      <c r="F38" s="6" t="s">
        <v>249</v>
      </c>
      <c r="G38" s="6" t="s">
        <v>250</v>
      </c>
      <c r="H38" s="24">
        <v>4</v>
      </c>
      <c r="M38" s="6" t="s">
        <v>249</v>
      </c>
      <c r="N38" s="6" t="s">
        <v>250</v>
      </c>
      <c r="O38" s="24">
        <v>4</v>
      </c>
      <c r="Q38" s="25"/>
      <c r="R38" s="18"/>
      <c r="S38" s="18"/>
      <c r="T38" s="18"/>
      <c r="U38" s="18"/>
      <c r="W38" s="6" t="s">
        <v>249</v>
      </c>
      <c r="X38" s="6" t="s">
        <v>250</v>
      </c>
      <c r="Y38" s="24">
        <v>4</v>
      </c>
      <c r="AB38" s="18"/>
      <c r="AD38" s="6" t="s">
        <v>249</v>
      </c>
      <c r="AE38" s="6" t="s">
        <v>250</v>
      </c>
      <c r="AF38" s="24">
        <v>4</v>
      </c>
      <c r="AH38" s="25"/>
      <c r="AI38" s="18"/>
      <c r="AJ38" s="18"/>
      <c r="AK38" s="18"/>
      <c r="AL38" s="18"/>
    </row>
    <row r="39" spans="2:38" x14ac:dyDescent="0.25">
      <c r="B39" s="6" t="s">
        <v>302</v>
      </c>
      <c r="C39" s="6" t="s">
        <v>299</v>
      </c>
      <c r="D39" s="31">
        <v>5.08</v>
      </c>
      <c r="F39" s="6" t="s">
        <v>251</v>
      </c>
      <c r="G39" s="6" t="s">
        <v>267</v>
      </c>
      <c r="H39" s="24">
        <v>150</v>
      </c>
      <c r="M39" s="6" t="s">
        <v>251</v>
      </c>
      <c r="N39" s="6" t="s">
        <v>267</v>
      </c>
      <c r="O39" s="24">
        <v>150</v>
      </c>
      <c r="Q39" s="25"/>
      <c r="R39" s="18"/>
      <c r="S39" s="18"/>
      <c r="T39" s="18"/>
      <c r="U39" s="18"/>
      <c r="W39" s="6" t="s">
        <v>251</v>
      </c>
      <c r="X39" s="6" t="s">
        <v>267</v>
      </c>
      <c r="Y39" s="24">
        <v>150</v>
      </c>
      <c r="AB39" s="18"/>
      <c r="AD39" s="6" t="s">
        <v>251</v>
      </c>
      <c r="AE39" s="6" t="s">
        <v>267</v>
      </c>
      <c r="AF39" s="24">
        <v>150</v>
      </c>
      <c r="AH39" s="25"/>
      <c r="AI39" s="18"/>
      <c r="AJ39" s="18"/>
      <c r="AK39" s="18"/>
      <c r="AL39" s="18"/>
    </row>
    <row r="40" spans="2:38" x14ac:dyDescent="0.25">
      <c r="B40" s="6" t="s">
        <v>304</v>
      </c>
      <c r="C40" s="6" t="s">
        <v>299</v>
      </c>
      <c r="D40" s="31">
        <f>14.33*25</f>
        <v>358.25</v>
      </c>
      <c r="F40" s="6" t="s">
        <v>252</v>
      </c>
      <c r="G40" s="6" t="s">
        <v>311</v>
      </c>
      <c r="H40" s="24">
        <f>H38*H39/1000</f>
        <v>0.6</v>
      </c>
      <c r="M40" s="6" t="s">
        <v>252</v>
      </c>
      <c r="N40" s="6" t="s">
        <v>311</v>
      </c>
      <c r="O40" s="24">
        <f>O38*O39/1000</f>
        <v>0.6</v>
      </c>
      <c r="Q40" s="25"/>
      <c r="R40" s="18"/>
      <c r="S40" s="18"/>
      <c r="T40" s="18"/>
      <c r="U40" s="18"/>
      <c r="W40" s="6" t="s">
        <v>252</v>
      </c>
      <c r="X40" s="6" t="s">
        <v>311</v>
      </c>
      <c r="Y40" s="24">
        <f>Y38*Y39/1000</f>
        <v>0.6</v>
      </c>
      <c r="AB40" s="18"/>
      <c r="AD40" s="6" t="s">
        <v>252</v>
      </c>
      <c r="AE40" s="6" t="s">
        <v>311</v>
      </c>
      <c r="AF40" s="24">
        <f>AF38*AF39/1000</f>
        <v>0.6</v>
      </c>
      <c r="AH40" s="25"/>
      <c r="AI40" s="18"/>
      <c r="AJ40" s="18"/>
      <c r="AK40" s="18"/>
      <c r="AL40" s="18"/>
    </row>
    <row r="41" spans="2:38" x14ac:dyDescent="0.25">
      <c r="B41" s="6" t="s">
        <v>303</v>
      </c>
      <c r="C41" s="6" t="s">
        <v>268</v>
      </c>
      <c r="D41" s="31">
        <v>598</v>
      </c>
      <c r="F41" s="6" t="s">
        <v>317</v>
      </c>
      <c r="G41" s="6" t="s">
        <v>114</v>
      </c>
      <c r="H41" s="24">
        <f>J26</f>
        <v>0.91126275574298177</v>
      </c>
      <c r="M41" s="7" t="s">
        <v>319</v>
      </c>
      <c r="N41" s="7" t="s">
        <v>114</v>
      </c>
      <c r="O41" s="24">
        <f>T26</f>
        <v>0.671997813122025</v>
      </c>
      <c r="Q41" s="25"/>
      <c r="R41" s="18"/>
      <c r="S41" s="18"/>
      <c r="T41" s="18"/>
      <c r="U41" s="18"/>
      <c r="W41" s="6" t="s">
        <v>317</v>
      </c>
      <c r="X41" s="6" t="s">
        <v>114</v>
      </c>
      <c r="Y41" s="24">
        <f>AA26</f>
        <v>0.91126275574298177</v>
      </c>
      <c r="AB41" s="18"/>
      <c r="AD41" s="7" t="s">
        <v>319</v>
      </c>
      <c r="AE41" s="7" t="s">
        <v>114</v>
      </c>
      <c r="AF41" s="24">
        <f>AK26</f>
        <v>0.671997813122025</v>
      </c>
      <c r="AH41" s="25"/>
      <c r="AI41" s="18"/>
      <c r="AJ41" s="18"/>
      <c r="AK41" s="18"/>
      <c r="AL41" s="18"/>
    </row>
    <row r="42" spans="2:38" x14ac:dyDescent="0.25">
      <c r="F42" s="6" t="s">
        <v>316</v>
      </c>
      <c r="G42" s="6" t="s">
        <v>114</v>
      </c>
      <c r="H42" s="24">
        <v>1.377</v>
      </c>
      <c r="M42" s="6" t="s">
        <v>333</v>
      </c>
      <c r="N42" s="6" t="s">
        <v>114</v>
      </c>
      <c r="O42" s="24">
        <f>U26</f>
        <v>0.15217581400720831</v>
      </c>
      <c r="Q42" s="25"/>
      <c r="R42" s="18"/>
      <c r="S42" s="18"/>
      <c r="T42" s="18"/>
      <c r="U42" s="18"/>
      <c r="W42" s="6" t="s">
        <v>316</v>
      </c>
      <c r="X42" s="6" t="s">
        <v>114</v>
      </c>
      <c r="Y42" s="24">
        <v>1.377</v>
      </c>
      <c r="AB42" s="18"/>
      <c r="AD42" s="6" t="s">
        <v>333</v>
      </c>
      <c r="AE42" s="6" t="s">
        <v>114</v>
      </c>
      <c r="AF42" s="24">
        <f>AL26</f>
        <v>0.15217581400720831</v>
      </c>
      <c r="AH42" s="25"/>
      <c r="AI42" s="18"/>
      <c r="AJ42" s="18"/>
      <c r="AK42" s="18"/>
      <c r="AL42" s="18"/>
    </row>
    <row r="43" spans="2:38" x14ac:dyDescent="0.25">
      <c r="F43" s="7" t="s">
        <v>319</v>
      </c>
      <c r="G43" s="7" t="s">
        <v>114</v>
      </c>
      <c r="H43" s="24">
        <f>H41+H42</f>
        <v>2.2882627557429815</v>
      </c>
      <c r="M43" s="7" t="s">
        <v>320</v>
      </c>
      <c r="N43" s="7" t="s">
        <v>311</v>
      </c>
      <c r="O43" s="24">
        <f>($D$34*O42+$D$35*O41)/1000</f>
        <v>0.4833481365305497</v>
      </c>
      <c r="Q43" s="25"/>
      <c r="R43" s="18"/>
      <c r="S43" s="18"/>
      <c r="T43" s="18"/>
      <c r="U43" s="18"/>
      <c r="W43" s="7" t="s">
        <v>319</v>
      </c>
      <c r="X43" s="7" t="s">
        <v>114</v>
      </c>
      <c r="Y43" s="24">
        <f>Y41+Y42</f>
        <v>2.2882627557429815</v>
      </c>
      <c r="AB43" s="18"/>
      <c r="AD43" s="7" t="s">
        <v>320</v>
      </c>
      <c r="AE43" s="7" t="s">
        <v>311</v>
      </c>
      <c r="AF43" s="24">
        <f>($D$34*AF42+$D$35*AF41)/1000</f>
        <v>0.4833481365305497</v>
      </c>
      <c r="AH43" s="25"/>
      <c r="AI43" s="18"/>
      <c r="AJ43" s="18"/>
      <c r="AK43" s="18"/>
      <c r="AL43" s="18"/>
    </row>
    <row r="44" spans="2:38" x14ac:dyDescent="0.25">
      <c r="F44" s="6" t="s">
        <v>318</v>
      </c>
      <c r="G44" s="6" t="s">
        <v>114</v>
      </c>
      <c r="H44" s="24">
        <v>3.0329999999999999</v>
      </c>
      <c r="M44" s="7" t="s">
        <v>321</v>
      </c>
      <c r="N44" s="7" t="s">
        <v>311</v>
      </c>
      <c r="O44" s="24">
        <f>(12*($D$36+$D$39+$D$40))/1000</f>
        <v>6.5679600000000011</v>
      </c>
      <c r="Q44" s="25"/>
      <c r="R44" s="18"/>
      <c r="S44" s="18"/>
      <c r="T44" s="18"/>
      <c r="U44" s="18"/>
      <c r="W44" s="6" t="s">
        <v>318</v>
      </c>
      <c r="X44" s="6" t="s">
        <v>114</v>
      </c>
      <c r="Y44" s="24">
        <v>3.0329999999999999</v>
      </c>
      <c r="AB44" s="18"/>
      <c r="AD44" s="7" t="s">
        <v>321</v>
      </c>
      <c r="AE44" s="7" t="s">
        <v>311</v>
      </c>
      <c r="AF44" s="24">
        <f>(12*($D$36+$D$39+$D$40))/1000</f>
        <v>6.5679600000000011</v>
      </c>
      <c r="AH44" s="25"/>
      <c r="AI44" s="18"/>
      <c r="AJ44" s="18"/>
      <c r="AK44" s="18"/>
      <c r="AL44" s="18"/>
    </row>
    <row r="45" spans="2:38" x14ac:dyDescent="0.25">
      <c r="F45" s="7" t="s">
        <v>320</v>
      </c>
      <c r="G45" s="7" t="s">
        <v>311</v>
      </c>
      <c r="H45" s="24">
        <f>(D34*H44+D35*H43)/1000</f>
        <v>7.0904571710651423</v>
      </c>
      <c r="M45" s="7" t="s">
        <v>322</v>
      </c>
      <c r="N45" s="7" t="s">
        <v>311</v>
      </c>
      <c r="O45" s="24">
        <f>((O42+O41)*($D$37+$D$38+$D$41))/1000</f>
        <v>0.6342922651749292</v>
      </c>
      <c r="Q45" s="18"/>
      <c r="R45" s="18"/>
      <c r="S45" s="18"/>
      <c r="T45" s="18"/>
      <c r="U45" s="18"/>
      <c r="W45" s="7" t="s">
        <v>320</v>
      </c>
      <c r="X45" s="7" t="s">
        <v>311</v>
      </c>
      <c r="Y45" s="24">
        <f>(D34*Y44+D35*Y43)/1000</f>
        <v>7.0904571710651423</v>
      </c>
      <c r="AB45" s="18"/>
      <c r="AD45" s="7" t="s">
        <v>322</v>
      </c>
      <c r="AE45" s="7" t="s">
        <v>311</v>
      </c>
      <c r="AF45" s="24">
        <f>((AF42+AF41)*($D$37+$D$38+$D$41))/1000</f>
        <v>0.6342922651749292</v>
      </c>
      <c r="AH45" s="18"/>
      <c r="AI45" s="18"/>
      <c r="AJ45" s="18"/>
      <c r="AK45" s="18"/>
      <c r="AL45" s="18"/>
    </row>
    <row r="46" spans="2:38" x14ac:dyDescent="0.25">
      <c r="F46" s="7" t="s">
        <v>321</v>
      </c>
      <c r="G46" s="7" t="s">
        <v>311</v>
      </c>
      <c r="H46" s="24">
        <f>(12*(D36+D39+D40))/1000</f>
        <v>6.5679600000000011</v>
      </c>
      <c r="M46" s="7" t="s">
        <v>324</v>
      </c>
      <c r="N46" s="7" t="s">
        <v>268</v>
      </c>
      <c r="O46" s="6">
        <f>$D$32</f>
        <v>3797</v>
      </c>
      <c r="Q46" s="18"/>
      <c r="R46" s="18"/>
      <c r="S46" s="18"/>
      <c r="T46" s="18"/>
      <c r="U46" s="18"/>
      <c r="W46" s="7" t="s">
        <v>321</v>
      </c>
      <c r="X46" s="7" t="s">
        <v>311</v>
      </c>
      <c r="Y46" s="24">
        <f>(12*(D36+D39+D40))/1000</f>
        <v>6.5679600000000011</v>
      </c>
      <c r="AB46" s="18"/>
      <c r="AD46" s="7" t="s">
        <v>324</v>
      </c>
      <c r="AE46" s="7" t="s">
        <v>268</v>
      </c>
      <c r="AF46" s="6">
        <f>$D$32</f>
        <v>3797</v>
      </c>
      <c r="AH46" s="18"/>
      <c r="AI46" s="18"/>
      <c r="AJ46" s="18"/>
      <c r="AK46" s="18"/>
      <c r="AL46" s="18"/>
    </row>
    <row r="47" spans="2:38" x14ac:dyDescent="0.25">
      <c r="F47" s="7" t="s">
        <v>322</v>
      </c>
      <c r="G47" s="7" t="s">
        <v>311</v>
      </c>
      <c r="H47" s="24">
        <f>((H44+H43)*(D37+D38+D41))/1000</f>
        <v>4.0952970294473561</v>
      </c>
      <c r="M47" s="7" t="s">
        <v>323</v>
      </c>
      <c r="N47" s="7" t="s">
        <v>268</v>
      </c>
      <c r="O47" s="6">
        <f>$D$33</f>
        <v>2202</v>
      </c>
      <c r="Q47" s="18"/>
      <c r="R47" s="18"/>
      <c r="S47" s="18"/>
      <c r="T47" s="18"/>
      <c r="U47" s="18"/>
      <c r="W47" s="7" t="s">
        <v>322</v>
      </c>
      <c r="X47" s="7" t="s">
        <v>311</v>
      </c>
      <c r="Y47" s="24">
        <f>((Y44+Y43)*(D37+D38+D41))/1000</f>
        <v>4.0952970294473561</v>
      </c>
      <c r="AB47" s="18"/>
      <c r="AD47" s="7" t="s">
        <v>323</v>
      </c>
      <c r="AE47" s="7" t="s">
        <v>268</v>
      </c>
      <c r="AF47" s="6">
        <f>$D$33</f>
        <v>2202</v>
      </c>
      <c r="AH47" s="18"/>
      <c r="AI47" s="18"/>
      <c r="AJ47" s="18"/>
      <c r="AK47" s="18"/>
      <c r="AL47" s="18"/>
    </row>
    <row r="48" spans="2:38" x14ac:dyDescent="0.25">
      <c r="F48" s="7" t="s">
        <v>324</v>
      </c>
      <c r="G48" s="7" t="s">
        <v>268</v>
      </c>
      <c r="H48" s="6">
        <f>D32</f>
        <v>3797</v>
      </c>
      <c r="M48" s="7" t="s">
        <v>253</v>
      </c>
      <c r="N48" s="7" t="s">
        <v>311</v>
      </c>
      <c r="O48" s="32">
        <f>((O46*O42)/1000)+((O47*O41)/1000)+O43+O44+O45</f>
        <v>9.7431511519855487</v>
      </c>
      <c r="Q48" s="18"/>
      <c r="R48" s="18"/>
      <c r="S48" s="18"/>
      <c r="T48" s="18"/>
      <c r="U48" s="18"/>
      <c r="W48" s="7" t="s">
        <v>324</v>
      </c>
      <c r="X48" s="7" t="s">
        <v>268</v>
      </c>
      <c r="Y48" s="6">
        <f>D32</f>
        <v>3797</v>
      </c>
      <c r="AB48" s="18"/>
      <c r="AD48" s="7" t="s">
        <v>253</v>
      </c>
      <c r="AE48" s="7" t="s">
        <v>311</v>
      </c>
      <c r="AF48" s="32">
        <f>((AF46*AF42)/1000)+((AF47*AF41)/1000)+AF43+AF44+AF45</f>
        <v>9.7431511519855487</v>
      </c>
      <c r="AH48" s="18"/>
      <c r="AI48" s="18"/>
      <c r="AJ48" s="18"/>
      <c r="AK48" s="18"/>
      <c r="AL48" s="18"/>
    </row>
    <row r="49" spans="5:38" x14ac:dyDescent="0.25">
      <c r="F49" s="7" t="s">
        <v>323</v>
      </c>
      <c r="G49" s="7" t="s">
        <v>268</v>
      </c>
      <c r="H49" s="6">
        <f>D33</f>
        <v>2202</v>
      </c>
      <c r="M49" s="7" t="s">
        <v>272</v>
      </c>
      <c r="N49" s="7" t="s">
        <v>311</v>
      </c>
      <c r="O49" s="32">
        <f>O48+O37+O40</f>
        <v>86.16824474732995</v>
      </c>
      <c r="Q49" s="18"/>
      <c r="R49" s="18"/>
      <c r="S49" s="18"/>
      <c r="T49" s="18"/>
      <c r="U49" s="18"/>
      <c r="W49" s="7" t="s">
        <v>323</v>
      </c>
      <c r="X49" s="7" t="s">
        <v>268</v>
      </c>
      <c r="Y49" s="6">
        <f>D33</f>
        <v>2202</v>
      </c>
      <c r="AB49" s="18"/>
      <c r="AD49" s="7" t="s">
        <v>272</v>
      </c>
      <c r="AE49" s="7" t="s">
        <v>311</v>
      </c>
      <c r="AF49" s="32">
        <f>AF48+AF37+AF40</f>
        <v>50.628625297012846</v>
      </c>
      <c r="AH49" s="18"/>
      <c r="AI49" s="18"/>
      <c r="AJ49" s="18"/>
      <c r="AK49" s="18"/>
      <c r="AL49" s="18"/>
    </row>
    <row r="50" spans="5:38" x14ac:dyDescent="0.25">
      <c r="F50" s="7" t="s">
        <v>253</v>
      </c>
      <c r="G50" s="7" t="s">
        <v>311</v>
      </c>
      <c r="H50" s="32">
        <f>((H48*H44)/1000)+((H49*H43)/1000)+H45+H46+H47</f>
        <v>34.308769788658552</v>
      </c>
      <c r="Q50" s="18"/>
      <c r="R50" s="18"/>
      <c r="S50" s="18"/>
      <c r="T50" s="18"/>
      <c r="U50" s="18"/>
      <c r="W50" s="7" t="s">
        <v>253</v>
      </c>
      <c r="X50" s="7" t="s">
        <v>311</v>
      </c>
      <c r="Y50" s="32">
        <f>((Y48*Y44)/1000)+((Y49*Y43)/1000)+Y45+Y46+Y47</f>
        <v>34.308769788658552</v>
      </c>
      <c r="AB50" s="18"/>
      <c r="AH50" s="18"/>
      <c r="AI50" s="18"/>
      <c r="AJ50" s="18"/>
      <c r="AK50" s="18"/>
      <c r="AL50" s="18"/>
    </row>
    <row r="51" spans="5:38" x14ac:dyDescent="0.25">
      <c r="F51" s="7" t="s">
        <v>272</v>
      </c>
      <c r="G51" s="7" t="s">
        <v>311</v>
      </c>
      <c r="H51" s="32">
        <f>H50+H37+H40</f>
        <v>112.14051031846383</v>
      </c>
      <c r="Q51" s="18"/>
      <c r="R51" s="18"/>
      <c r="S51" s="18"/>
      <c r="T51" s="18"/>
      <c r="U51" s="18"/>
      <c r="W51" s="7" t="s">
        <v>272</v>
      </c>
      <c r="X51" s="7" t="s">
        <v>311</v>
      </c>
      <c r="Y51" s="32">
        <f>Y50+Y37+Y40</f>
        <v>76.60089086814672</v>
      </c>
      <c r="AB51" s="18"/>
      <c r="AH51" s="18"/>
      <c r="AI51" s="18"/>
      <c r="AJ51" s="18"/>
      <c r="AK51" s="18"/>
      <c r="AL51" s="18"/>
    </row>
    <row r="52" spans="5:38" x14ac:dyDescent="0.25">
      <c r="Q52" s="18"/>
      <c r="R52" s="18"/>
      <c r="S52" s="18"/>
      <c r="T52" s="18"/>
      <c r="U52" s="18"/>
      <c r="AB52" s="18"/>
      <c r="AH52" s="18"/>
      <c r="AI52" s="18"/>
      <c r="AJ52" s="18"/>
      <c r="AK52" s="18"/>
      <c r="AL52" s="18"/>
    </row>
    <row r="53" spans="5:38" x14ac:dyDescent="0.25">
      <c r="Q53" s="18"/>
      <c r="R53" s="18"/>
      <c r="S53" s="18"/>
      <c r="T53" s="18"/>
      <c r="U53" s="18"/>
      <c r="AB53" s="18"/>
      <c r="AH53" s="18"/>
      <c r="AI53" s="18"/>
      <c r="AJ53" s="18"/>
      <c r="AK53" s="18"/>
      <c r="AL53" s="18"/>
    </row>
    <row r="54" spans="5:38" x14ac:dyDescent="0.25">
      <c r="Q54" s="18"/>
      <c r="R54" s="18"/>
      <c r="S54" s="18"/>
      <c r="T54" s="18"/>
      <c r="U54" s="18"/>
      <c r="AB54" s="18"/>
      <c r="AH54" s="18"/>
      <c r="AI54" s="18"/>
      <c r="AJ54" s="18"/>
      <c r="AK54" s="18"/>
      <c r="AL54" s="18"/>
    </row>
    <row r="55" spans="5:38" x14ac:dyDescent="0.25">
      <c r="Q55" s="18"/>
      <c r="R55" s="18"/>
      <c r="S55" s="18"/>
      <c r="T55" s="18"/>
      <c r="U55" s="18"/>
      <c r="AB55" s="18"/>
      <c r="AH55" s="18"/>
      <c r="AI55" s="18"/>
      <c r="AJ55" s="18"/>
      <c r="AK55" s="18"/>
      <c r="AL55" s="18"/>
    </row>
    <row r="56" spans="5:38" x14ac:dyDescent="0.25">
      <c r="Q56" s="18"/>
      <c r="R56" s="18"/>
      <c r="S56" s="18"/>
      <c r="T56" s="18"/>
      <c r="U56" s="18"/>
      <c r="AB56" s="18"/>
      <c r="AH56" s="18"/>
      <c r="AI56" s="18"/>
      <c r="AJ56" s="18"/>
      <c r="AK56" s="18"/>
      <c r="AL56" s="18"/>
    </row>
    <row r="57" spans="5:38" x14ac:dyDescent="0.25">
      <c r="Q57" s="18"/>
      <c r="R57" s="18"/>
      <c r="S57" s="18"/>
      <c r="T57" s="18"/>
      <c r="U57" s="18"/>
      <c r="AB57" s="18"/>
      <c r="AH57" s="18"/>
      <c r="AI57" s="18"/>
      <c r="AJ57" s="18"/>
      <c r="AK57" s="18"/>
      <c r="AL57" s="18"/>
    </row>
    <row r="58" spans="5:38" x14ac:dyDescent="0.25">
      <c r="Q58" s="18"/>
      <c r="R58" s="18"/>
      <c r="S58" s="18"/>
      <c r="T58" s="18"/>
      <c r="U58" s="18"/>
      <c r="AB58" s="18"/>
      <c r="AH58" s="18"/>
      <c r="AI58" s="18"/>
      <c r="AJ58" s="18"/>
      <c r="AK58" s="18"/>
      <c r="AL58" s="18"/>
    </row>
    <row r="59" spans="5:38" x14ac:dyDescent="0.25">
      <c r="E59" s="6">
        <v>0</v>
      </c>
      <c r="F59" s="6">
        <f>84.089</f>
        <v>84.088999999999999</v>
      </c>
      <c r="G59" s="6">
        <v>0.02</v>
      </c>
      <c r="H59" s="6">
        <f>F59/((1+G59)^(-E59))</f>
        <v>84.088999999999999</v>
      </c>
      <c r="L59" s="6">
        <v>0</v>
      </c>
      <c r="M59" s="6">
        <f>84.089</f>
        <v>84.088999999999999</v>
      </c>
      <c r="N59" s="6">
        <v>0.02</v>
      </c>
      <c r="O59" s="6">
        <f>M59/((1+N59)^(-L59))</f>
        <v>84.088999999999999</v>
      </c>
      <c r="Q59" s="18"/>
      <c r="R59" s="18"/>
      <c r="S59" s="18"/>
      <c r="T59" s="18"/>
      <c r="U59" s="18"/>
      <c r="V59" s="6">
        <v>0</v>
      </c>
      <c r="W59" s="6">
        <f>84.089</f>
        <v>84.088999999999999</v>
      </c>
      <c r="X59" s="6">
        <v>0.02</v>
      </c>
      <c r="Y59" s="6">
        <f>W59/((1+X59)^(-V59))</f>
        <v>84.088999999999999</v>
      </c>
      <c r="AB59" s="18"/>
      <c r="AC59" s="6">
        <v>0</v>
      </c>
      <c r="AD59" s="6">
        <f>84.089</f>
        <v>84.088999999999999</v>
      </c>
      <c r="AE59" s="6">
        <v>0.02</v>
      </c>
      <c r="AF59" s="6">
        <f>AD59/((1+AE59)^(-AC59))</f>
        <v>84.088999999999999</v>
      </c>
      <c r="AH59" s="18"/>
      <c r="AI59" s="18"/>
      <c r="AJ59" s="18"/>
      <c r="AK59" s="18"/>
      <c r="AL59" s="18"/>
    </row>
    <row r="60" spans="5:38" x14ac:dyDescent="0.25">
      <c r="E60" s="6">
        <v>1</v>
      </c>
      <c r="F60" s="24">
        <f>$H$51</f>
        <v>112.14051031846383</v>
      </c>
      <c r="G60" s="6">
        <v>0.02</v>
      </c>
      <c r="H60" s="6">
        <f>F60/((1.02)^(E60))</f>
        <v>109.94167678280768</v>
      </c>
      <c r="L60" s="6">
        <v>1</v>
      </c>
      <c r="M60" s="24">
        <f>O$49</f>
        <v>86.16824474732995</v>
      </c>
      <c r="N60" s="6">
        <v>0.02</v>
      </c>
      <c r="O60" s="6">
        <f>M60/((1.02)^(L60))</f>
        <v>84.478671320911715</v>
      </c>
      <c r="Q60" s="18"/>
      <c r="R60" s="18"/>
      <c r="S60" s="18"/>
      <c r="T60" s="18"/>
      <c r="U60" s="18"/>
      <c r="V60" s="6">
        <v>1</v>
      </c>
      <c r="W60" s="24">
        <f>Y$51</f>
        <v>76.60089086814672</v>
      </c>
      <c r="X60" s="6">
        <v>0.02</v>
      </c>
      <c r="Y60" s="6">
        <f>W60/((1.02)^(V60))</f>
        <v>75.098912615830116</v>
      </c>
      <c r="AB60" s="18"/>
      <c r="AC60" s="6">
        <v>1</v>
      </c>
      <c r="AD60" s="24">
        <f>AF$49</f>
        <v>50.628625297012846</v>
      </c>
      <c r="AE60" s="6">
        <v>0.02</v>
      </c>
      <c r="AF60" s="6">
        <f>AD60/((1.02)^(AC60))</f>
        <v>49.635907153934163</v>
      </c>
      <c r="AH60" s="18"/>
      <c r="AI60" s="18"/>
      <c r="AJ60" s="18"/>
      <c r="AK60" s="18"/>
      <c r="AL60" s="18"/>
    </row>
    <row r="61" spans="5:38" x14ac:dyDescent="0.25">
      <c r="E61" s="6">
        <v>2</v>
      </c>
      <c r="F61" s="24">
        <f t="shared" ref="F61:F79" si="24">$H$51</f>
        <v>112.14051031846383</v>
      </c>
      <c r="G61" s="6">
        <v>0.02</v>
      </c>
      <c r="H61" s="6">
        <f t="shared" ref="H61:H79" si="25">F61/((1.02)^(E61))</f>
        <v>107.7859576302036</v>
      </c>
      <c r="L61" s="6">
        <v>2</v>
      </c>
      <c r="M61" s="24">
        <f t="shared" ref="M61:M79" si="26">O$49</f>
        <v>86.16824474732995</v>
      </c>
      <c r="N61" s="6">
        <v>0.02</v>
      </c>
      <c r="O61" s="6">
        <f t="shared" ref="O61:O79" si="27">M61/((1.02)^(L61))</f>
        <v>82.822226785207562</v>
      </c>
      <c r="Q61" s="18"/>
      <c r="R61" s="18"/>
      <c r="S61" s="18"/>
      <c r="T61" s="18"/>
      <c r="U61" s="18"/>
      <c r="V61" s="6">
        <v>2</v>
      </c>
      <c r="W61" s="24">
        <f t="shared" ref="W61:W79" si="28">Y$51</f>
        <v>76.60089086814672</v>
      </c>
      <c r="X61" s="6">
        <v>0.02</v>
      </c>
      <c r="Y61" s="6">
        <f t="shared" ref="Y61:Y79" si="29">W61/((1.02)^(V61))</f>
        <v>73.626384917480507</v>
      </c>
      <c r="AB61" s="18"/>
      <c r="AC61" s="6">
        <v>2</v>
      </c>
      <c r="AD61" s="24">
        <f t="shared" ref="AD61:AD79" si="30">AF$49</f>
        <v>50.628625297012846</v>
      </c>
      <c r="AE61" s="6">
        <v>0.02</v>
      </c>
      <c r="AF61" s="6">
        <f t="shared" ref="AF61:AF79" si="31">AD61/((1.02)^(AC61))</f>
        <v>48.662654072484472</v>
      </c>
      <c r="AH61" s="18"/>
      <c r="AI61" s="18"/>
      <c r="AJ61" s="18"/>
      <c r="AK61" s="18"/>
      <c r="AL61" s="18"/>
    </row>
    <row r="62" spans="5:38" x14ac:dyDescent="0.25">
      <c r="E62" s="6">
        <v>3</v>
      </c>
      <c r="F62" s="24">
        <f t="shared" si="24"/>
        <v>112.14051031846383</v>
      </c>
      <c r="G62" s="6">
        <v>0.02</v>
      </c>
      <c r="H62" s="6">
        <f t="shared" si="25"/>
        <v>105.67250748059178</v>
      </c>
      <c r="L62" s="6">
        <v>3</v>
      </c>
      <c r="M62" s="24">
        <f t="shared" si="26"/>
        <v>86.16824474732995</v>
      </c>
      <c r="N62" s="6">
        <v>0.02</v>
      </c>
      <c r="O62" s="6">
        <f t="shared" si="27"/>
        <v>81.198261554125068</v>
      </c>
      <c r="Q62" s="18"/>
      <c r="R62" s="18"/>
      <c r="S62" s="18"/>
      <c r="T62" s="18"/>
      <c r="U62" s="18"/>
      <c r="V62" s="6">
        <v>3</v>
      </c>
      <c r="W62" s="24">
        <f t="shared" si="28"/>
        <v>76.60089086814672</v>
      </c>
      <c r="X62" s="6">
        <v>0.02</v>
      </c>
      <c r="Y62" s="6">
        <f t="shared" si="29"/>
        <v>72.182730311255398</v>
      </c>
      <c r="AB62" s="18"/>
      <c r="AC62" s="6">
        <v>3</v>
      </c>
      <c r="AD62" s="24">
        <f t="shared" si="30"/>
        <v>50.628625297012846</v>
      </c>
      <c r="AE62" s="6">
        <v>0.02</v>
      </c>
      <c r="AF62" s="6">
        <f t="shared" si="31"/>
        <v>47.708484384788704</v>
      </c>
      <c r="AH62" s="18"/>
      <c r="AI62" s="18"/>
      <c r="AJ62" s="18"/>
      <c r="AK62" s="18"/>
      <c r="AL62" s="18"/>
    </row>
    <row r="63" spans="5:38" x14ac:dyDescent="0.25">
      <c r="E63" s="6">
        <v>4</v>
      </c>
      <c r="F63" s="24">
        <f t="shared" si="24"/>
        <v>112.14051031846383</v>
      </c>
      <c r="G63" s="6">
        <v>0.02</v>
      </c>
      <c r="H63" s="6">
        <f t="shared" si="25"/>
        <v>103.60049752999193</v>
      </c>
      <c r="L63" s="6">
        <v>4</v>
      </c>
      <c r="M63" s="24">
        <f t="shared" si="26"/>
        <v>86.16824474732995</v>
      </c>
      <c r="N63" s="6">
        <v>0.02</v>
      </c>
      <c r="O63" s="6">
        <f t="shared" si="27"/>
        <v>79.606138778553984</v>
      </c>
      <c r="Q63" s="18"/>
      <c r="R63" s="18"/>
      <c r="S63" s="18"/>
      <c r="T63" s="18"/>
      <c r="U63" s="18"/>
      <c r="V63" s="6">
        <v>4</v>
      </c>
      <c r="W63" s="24">
        <f t="shared" si="28"/>
        <v>76.60089086814672</v>
      </c>
      <c r="X63" s="6">
        <v>0.02</v>
      </c>
      <c r="Y63" s="6">
        <f t="shared" si="29"/>
        <v>70.767382658093524</v>
      </c>
      <c r="AB63" s="18"/>
      <c r="AC63" s="6">
        <v>4</v>
      </c>
      <c r="AD63" s="24">
        <f t="shared" si="30"/>
        <v>50.628625297012846</v>
      </c>
      <c r="AE63" s="6">
        <v>0.02</v>
      </c>
      <c r="AF63" s="6">
        <f t="shared" si="31"/>
        <v>46.773023906655588</v>
      </c>
      <c r="AH63" s="18"/>
      <c r="AI63" s="18"/>
      <c r="AJ63" s="18"/>
      <c r="AK63" s="18"/>
      <c r="AL63" s="18"/>
    </row>
    <row r="64" spans="5:38" x14ac:dyDescent="0.25">
      <c r="E64" s="6">
        <v>5</v>
      </c>
      <c r="F64" s="24">
        <f t="shared" si="24"/>
        <v>112.14051031846383</v>
      </c>
      <c r="G64" s="6">
        <v>0.02</v>
      </c>
      <c r="H64" s="6">
        <f t="shared" si="25"/>
        <v>101.56911522548228</v>
      </c>
      <c r="L64" s="6">
        <v>5</v>
      </c>
      <c r="M64" s="24">
        <f t="shared" si="26"/>
        <v>86.16824474732995</v>
      </c>
      <c r="N64" s="6">
        <v>0.02</v>
      </c>
      <c r="O64" s="6">
        <f t="shared" si="27"/>
        <v>78.045234096621556</v>
      </c>
      <c r="Q64" s="18"/>
      <c r="R64" s="18"/>
      <c r="S64" s="18"/>
      <c r="T64" s="18"/>
      <c r="U64" s="18"/>
      <c r="V64" s="6">
        <v>5</v>
      </c>
      <c r="W64" s="24">
        <f t="shared" si="28"/>
        <v>76.60089086814672</v>
      </c>
      <c r="X64" s="6">
        <v>0.02</v>
      </c>
      <c r="Y64" s="6">
        <f t="shared" si="29"/>
        <v>69.379786919699541</v>
      </c>
      <c r="AB64" s="18"/>
      <c r="AC64" s="6">
        <v>5</v>
      </c>
      <c r="AD64" s="24">
        <f t="shared" si="30"/>
        <v>50.628625297012846</v>
      </c>
      <c r="AE64" s="6">
        <v>0.02</v>
      </c>
      <c r="AF64" s="6">
        <f t="shared" si="31"/>
        <v>45.855905790838811</v>
      </c>
      <c r="AH64" s="18"/>
      <c r="AI64" s="18"/>
      <c r="AJ64" s="18"/>
      <c r="AK64" s="18"/>
      <c r="AL64" s="18"/>
    </row>
    <row r="65" spans="5:38" x14ac:dyDescent="0.25">
      <c r="E65" s="6">
        <v>6</v>
      </c>
      <c r="F65" s="24">
        <f t="shared" si="24"/>
        <v>112.14051031846383</v>
      </c>
      <c r="G65" s="6">
        <v>0.02</v>
      </c>
      <c r="H65" s="6">
        <f t="shared" si="25"/>
        <v>99.577563946551251</v>
      </c>
      <c r="L65" s="6">
        <v>6</v>
      </c>
      <c r="M65" s="24">
        <f t="shared" si="26"/>
        <v>86.16824474732995</v>
      </c>
      <c r="N65" s="6">
        <v>0.02</v>
      </c>
      <c r="O65" s="6">
        <f t="shared" si="27"/>
        <v>76.514935388844648</v>
      </c>
      <c r="Q65" s="18"/>
      <c r="R65" s="18"/>
      <c r="S65" s="18"/>
      <c r="T65" s="18"/>
      <c r="U65" s="18"/>
      <c r="V65" s="6">
        <v>6</v>
      </c>
      <c r="W65" s="24">
        <f t="shared" si="28"/>
        <v>76.60089086814672</v>
      </c>
      <c r="X65" s="6">
        <v>0.02</v>
      </c>
      <c r="Y65" s="6">
        <f t="shared" si="29"/>
        <v>68.019398940881899</v>
      </c>
      <c r="AB65" s="18"/>
      <c r="AC65" s="6">
        <v>6</v>
      </c>
      <c r="AD65" s="24">
        <f t="shared" si="30"/>
        <v>50.628625297012846</v>
      </c>
      <c r="AE65" s="6">
        <v>0.02</v>
      </c>
      <c r="AF65" s="6">
        <f t="shared" si="31"/>
        <v>44.956770383175304</v>
      </c>
      <c r="AH65" s="18"/>
      <c r="AI65" s="18"/>
      <c r="AJ65" s="18"/>
      <c r="AK65" s="18"/>
      <c r="AL65" s="18"/>
    </row>
    <row r="66" spans="5:38" x14ac:dyDescent="0.25">
      <c r="E66" s="6">
        <v>7</v>
      </c>
      <c r="F66" s="24">
        <f t="shared" si="24"/>
        <v>112.14051031846383</v>
      </c>
      <c r="G66" s="6">
        <v>0.02</v>
      </c>
      <c r="H66" s="6">
        <f t="shared" si="25"/>
        <v>97.625062692697327</v>
      </c>
      <c r="L66" s="6">
        <v>7</v>
      </c>
      <c r="M66" s="24">
        <f t="shared" si="26"/>
        <v>86.16824474732995</v>
      </c>
      <c r="N66" s="6">
        <v>0.02</v>
      </c>
      <c r="O66" s="6">
        <f t="shared" si="27"/>
        <v>75.01464253808301</v>
      </c>
      <c r="Q66" s="18"/>
      <c r="R66" s="18"/>
      <c r="S66" s="18"/>
      <c r="T66" s="18"/>
      <c r="U66" s="18"/>
      <c r="V66" s="6">
        <v>7</v>
      </c>
      <c r="W66" s="24">
        <f t="shared" si="28"/>
        <v>76.60089086814672</v>
      </c>
      <c r="X66" s="6">
        <v>0.02</v>
      </c>
      <c r="Y66" s="6">
        <f t="shared" si="29"/>
        <v>66.685685236158733</v>
      </c>
      <c r="AB66" s="18"/>
      <c r="AC66" s="6">
        <v>7</v>
      </c>
      <c r="AD66" s="24">
        <f t="shared" si="30"/>
        <v>50.628625297012846</v>
      </c>
      <c r="AE66" s="6">
        <v>0.02</v>
      </c>
      <c r="AF66" s="6">
        <f t="shared" si="31"/>
        <v>44.075265081544423</v>
      </c>
      <c r="AH66" s="18"/>
      <c r="AI66" s="18"/>
      <c r="AJ66" s="18"/>
      <c r="AK66" s="18"/>
      <c r="AL66" s="18"/>
    </row>
    <row r="67" spans="5:38" x14ac:dyDescent="0.25">
      <c r="E67" s="6">
        <v>8</v>
      </c>
      <c r="F67" s="24">
        <f t="shared" si="24"/>
        <v>112.14051031846383</v>
      </c>
      <c r="G67" s="6">
        <v>0.02</v>
      </c>
      <c r="H67" s="6">
        <f t="shared" si="25"/>
        <v>95.710845777154233</v>
      </c>
      <c r="L67" s="6">
        <v>8</v>
      </c>
      <c r="M67" s="24">
        <f t="shared" si="26"/>
        <v>86.16824474732995</v>
      </c>
      <c r="N67" s="6">
        <v>0.02</v>
      </c>
      <c r="O67" s="6">
        <f t="shared" si="27"/>
        <v>73.54376719419902</v>
      </c>
      <c r="Q67" s="18"/>
      <c r="R67" s="18"/>
      <c r="S67" s="18"/>
      <c r="T67" s="18"/>
      <c r="U67" s="18"/>
      <c r="V67" s="6">
        <v>8</v>
      </c>
      <c r="W67" s="24">
        <f t="shared" si="28"/>
        <v>76.60089086814672</v>
      </c>
      <c r="X67" s="6">
        <v>0.02</v>
      </c>
      <c r="Y67" s="6">
        <f t="shared" si="29"/>
        <v>65.37812278054777</v>
      </c>
      <c r="AB67" s="18"/>
      <c r="AC67" s="6">
        <v>8</v>
      </c>
      <c r="AD67" s="24">
        <f t="shared" si="30"/>
        <v>50.628625297012846</v>
      </c>
      <c r="AE67" s="6">
        <v>0.02</v>
      </c>
      <c r="AF67" s="6">
        <f t="shared" si="31"/>
        <v>43.211044197592571</v>
      </c>
      <c r="AH67" s="18"/>
      <c r="AI67" s="18"/>
      <c r="AJ67" s="18"/>
      <c r="AK67" s="18"/>
      <c r="AL67" s="18"/>
    </row>
    <row r="68" spans="5:38" x14ac:dyDescent="0.25">
      <c r="E68" s="6">
        <v>9</v>
      </c>
      <c r="F68" s="24">
        <f t="shared" si="24"/>
        <v>112.14051031846383</v>
      </c>
      <c r="G68" s="6">
        <v>0.02</v>
      </c>
      <c r="H68" s="6">
        <f t="shared" si="25"/>
        <v>93.834162526621796</v>
      </c>
      <c r="L68" s="6">
        <v>9</v>
      </c>
      <c r="M68" s="24">
        <f t="shared" si="26"/>
        <v>86.16824474732995</v>
      </c>
      <c r="N68" s="6">
        <v>0.02</v>
      </c>
      <c r="O68" s="6">
        <f t="shared" si="27"/>
        <v>72.101732543332375</v>
      </c>
      <c r="Q68" s="18"/>
      <c r="R68" s="18"/>
      <c r="S68" s="18"/>
      <c r="T68" s="18"/>
      <c r="U68" s="18"/>
      <c r="V68" s="6">
        <v>9</v>
      </c>
      <c r="W68" s="24">
        <f t="shared" si="28"/>
        <v>76.60089086814672</v>
      </c>
      <c r="X68" s="6">
        <v>0.02</v>
      </c>
      <c r="Y68" s="6">
        <f t="shared" si="29"/>
        <v>64.096198804458609</v>
      </c>
      <c r="AB68" s="18"/>
      <c r="AC68" s="6">
        <v>9</v>
      </c>
      <c r="AD68" s="24">
        <f t="shared" si="30"/>
        <v>50.628625297012846</v>
      </c>
      <c r="AE68" s="6">
        <v>0.02</v>
      </c>
      <c r="AF68" s="6">
        <f t="shared" si="31"/>
        <v>42.363768821169181</v>
      </c>
      <c r="AH68" s="18"/>
      <c r="AI68" s="18"/>
      <c r="AJ68" s="18"/>
      <c r="AK68" s="18"/>
      <c r="AL68" s="18"/>
    </row>
    <row r="69" spans="5:38" x14ac:dyDescent="0.25">
      <c r="E69" s="6">
        <v>10</v>
      </c>
      <c r="F69" s="24">
        <f t="shared" si="24"/>
        <v>112.14051031846383</v>
      </c>
      <c r="G69" s="6">
        <v>0.02</v>
      </c>
      <c r="H69" s="6">
        <f t="shared" si="25"/>
        <v>91.994276986884103</v>
      </c>
      <c r="L69" s="6">
        <v>10</v>
      </c>
      <c r="M69" s="24">
        <f t="shared" si="26"/>
        <v>86.16824474732995</v>
      </c>
      <c r="N69" s="6">
        <v>0.02</v>
      </c>
      <c r="O69" s="6">
        <f t="shared" si="27"/>
        <v>70.687973081698402</v>
      </c>
      <c r="Q69" s="18"/>
      <c r="R69" s="18"/>
      <c r="S69" s="18"/>
      <c r="T69" s="18"/>
      <c r="U69" s="18"/>
      <c r="V69" s="6">
        <v>10</v>
      </c>
      <c r="W69" s="24">
        <f t="shared" si="28"/>
        <v>76.60089086814672</v>
      </c>
      <c r="X69" s="6">
        <v>0.02</v>
      </c>
      <c r="Y69" s="6">
        <f t="shared" si="29"/>
        <v>62.83941059260647</v>
      </c>
      <c r="AB69" s="18"/>
      <c r="AC69" s="6">
        <v>10</v>
      </c>
      <c r="AD69" s="24">
        <f t="shared" si="30"/>
        <v>50.628625297012846</v>
      </c>
      <c r="AE69" s="6">
        <v>0.02</v>
      </c>
      <c r="AF69" s="6">
        <f t="shared" si="31"/>
        <v>41.533106687420769</v>
      </c>
      <c r="AH69" s="18"/>
      <c r="AI69" s="18"/>
      <c r="AJ69" s="18"/>
      <c r="AK69" s="18"/>
      <c r="AL69" s="18"/>
    </row>
    <row r="70" spans="5:38" x14ac:dyDescent="0.25">
      <c r="E70" s="6">
        <v>11</v>
      </c>
      <c r="F70" s="24">
        <f t="shared" si="24"/>
        <v>112.14051031846383</v>
      </c>
      <c r="G70" s="6">
        <v>0.02</v>
      </c>
      <c r="H70" s="6">
        <f t="shared" si="25"/>
        <v>90.190467634200118</v>
      </c>
      <c r="L70" s="6">
        <v>11</v>
      </c>
      <c r="M70" s="24">
        <f t="shared" si="26"/>
        <v>86.16824474732995</v>
      </c>
      <c r="N70" s="6">
        <v>0.02</v>
      </c>
      <c r="O70" s="6">
        <f t="shared" si="27"/>
        <v>69.301934393821981</v>
      </c>
      <c r="Q70" s="18"/>
      <c r="R70" s="18"/>
      <c r="S70" s="18"/>
      <c r="T70" s="18"/>
      <c r="U70" s="18"/>
      <c r="V70" s="6">
        <v>11</v>
      </c>
      <c r="W70" s="24">
        <f t="shared" si="28"/>
        <v>76.60089086814672</v>
      </c>
      <c r="X70" s="6">
        <v>0.02</v>
      </c>
      <c r="Y70" s="6">
        <f t="shared" si="29"/>
        <v>61.607265286869101</v>
      </c>
      <c r="AB70" s="18"/>
      <c r="AC70" s="6">
        <v>11</v>
      </c>
      <c r="AD70" s="24">
        <f t="shared" si="30"/>
        <v>50.628625297012846</v>
      </c>
      <c r="AE70" s="6">
        <v>0.02</v>
      </c>
      <c r="AF70" s="6">
        <f t="shared" si="31"/>
        <v>40.718732046490956</v>
      </c>
      <c r="AH70" s="18"/>
      <c r="AI70" s="18"/>
      <c r="AJ70" s="18"/>
      <c r="AK70" s="18"/>
      <c r="AL70" s="18"/>
    </row>
    <row r="71" spans="5:38" x14ac:dyDescent="0.25">
      <c r="E71" s="6">
        <v>12</v>
      </c>
      <c r="F71" s="24">
        <f t="shared" si="24"/>
        <v>112.14051031846383</v>
      </c>
      <c r="G71" s="6">
        <v>0.02</v>
      </c>
      <c r="H71" s="6">
        <f t="shared" si="25"/>
        <v>88.422027092353048</v>
      </c>
      <c r="L71" s="6">
        <v>12</v>
      </c>
      <c r="M71" s="24">
        <f t="shared" si="26"/>
        <v>86.16824474732995</v>
      </c>
      <c r="N71" s="6">
        <v>0.02</v>
      </c>
      <c r="O71" s="6">
        <f t="shared" si="27"/>
        <v>67.943072935119574</v>
      </c>
      <c r="Q71" s="18"/>
      <c r="R71" s="18"/>
      <c r="S71" s="18"/>
      <c r="T71" s="18"/>
      <c r="U71" s="18"/>
      <c r="V71" s="6">
        <v>12</v>
      </c>
      <c r="W71" s="24">
        <f t="shared" si="28"/>
        <v>76.60089086814672</v>
      </c>
      <c r="X71" s="6">
        <v>0.02</v>
      </c>
      <c r="Y71" s="6">
        <f t="shared" si="29"/>
        <v>60.399279693008914</v>
      </c>
      <c r="AB71" s="18"/>
      <c r="AC71" s="6">
        <v>12</v>
      </c>
      <c r="AD71" s="24">
        <f t="shared" si="30"/>
        <v>50.628625297012846</v>
      </c>
      <c r="AE71" s="6">
        <v>0.02</v>
      </c>
      <c r="AF71" s="6">
        <f t="shared" si="31"/>
        <v>39.92032553577544</v>
      </c>
      <c r="AH71" s="18"/>
      <c r="AI71" s="18"/>
      <c r="AJ71" s="18"/>
      <c r="AK71" s="18"/>
      <c r="AL71" s="18"/>
    </row>
    <row r="72" spans="5:38" x14ac:dyDescent="0.25">
      <c r="E72" s="6">
        <v>13</v>
      </c>
      <c r="F72" s="24">
        <f t="shared" si="24"/>
        <v>112.14051031846383</v>
      </c>
      <c r="G72" s="6">
        <v>0.02</v>
      </c>
      <c r="H72" s="6">
        <f t="shared" si="25"/>
        <v>86.688261855248086</v>
      </c>
      <c r="L72" s="6">
        <v>13</v>
      </c>
      <c r="M72" s="24">
        <f t="shared" si="26"/>
        <v>86.16824474732995</v>
      </c>
      <c r="N72" s="6">
        <v>0.02</v>
      </c>
      <c r="O72" s="6">
        <f t="shared" si="27"/>
        <v>66.610855818744682</v>
      </c>
      <c r="Q72" s="18"/>
      <c r="R72" s="18"/>
      <c r="S72" s="18"/>
      <c r="T72" s="18"/>
      <c r="U72" s="18"/>
      <c r="V72" s="6">
        <v>13</v>
      </c>
      <c r="W72" s="24">
        <f t="shared" si="28"/>
        <v>76.60089086814672</v>
      </c>
      <c r="X72" s="6">
        <v>0.02</v>
      </c>
      <c r="Y72" s="6">
        <f t="shared" si="29"/>
        <v>59.214980091185211</v>
      </c>
      <c r="AB72" s="18"/>
      <c r="AC72" s="6">
        <v>13</v>
      </c>
      <c r="AD72" s="24">
        <f t="shared" si="30"/>
        <v>50.628625297012846</v>
      </c>
      <c r="AE72" s="6">
        <v>0.02</v>
      </c>
      <c r="AF72" s="6">
        <f t="shared" si="31"/>
        <v>39.137574054681807</v>
      </c>
      <c r="AH72" s="18"/>
      <c r="AI72" s="18"/>
      <c r="AJ72" s="18"/>
      <c r="AK72" s="18"/>
      <c r="AL72" s="18"/>
    </row>
    <row r="73" spans="5:38" x14ac:dyDescent="0.25">
      <c r="E73" s="6">
        <v>14</v>
      </c>
      <c r="F73" s="24">
        <f t="shared" si="24"/>
        <v>112.14051031846383</v>
      </c>
      <c r="G73" s="6">
        <v>0.02</v>
      </c>
      <c r="H73" s="6">
        <f t="shared" si="25"/>
        <v>84.988492014949102</v>
      </c>
      <c r="L73" s="6">
        <v>14</v>
      </c>
      <c r="M73" s="24">
        <f t="shared" si="26"/>
        <v>86.16824474732995</v>
      </c>
      <c r="N73" s="6">
        <v>0.02</v>
      </c>
      <c r="O73" s="6">
        <f t="shared" si="27"/>
        <v>65.304760606612433</v>
      </c>
      <c r="Q73" s="18"/>
      <c r="R73" s="18"/>
      <c r="S73" s="18"/>
      <c r="T73" s="18"/>
      <c r="U73" s="18"/>
      <c r="V73" s="6">
        <v>14</v>
      </c>
      <c r="W73" s="24">
        <f t="shared" si="28"/>
        <v>76.60089086814672</v>
      </c>
      <c r="X73" s="6">
        <v>0.02</v>
      </c>
      <c r="Y73" s="6">
        <f t="shared" si="29"/>
        <v>58.053902050181577</v>
      </c>
      <c r="AB73" s="18"/>
      <c r="AC73" s="6">
        <v>14</v>
      </c>
      <c r="AD73" s="24">
        <f t="shared" si="30"/>
        <v>50.628625297012846</v>
      </c>
      <c r="AE73" s="6">
        <v>0.02</v>
      </c>
      <c r="AF73" s="6">
        <f t="shared" si="31"/>
        <v>38.370170641844908</v>
      </c>
      <c r="AH73" s="18"/>
      <c r="AI73" s="18"/>
      <c r="AJ73" s="18"/>
      <c r="AK73" s="18"/>
      <c r="AL73" s="18"/>
    </row>
    <row r="74" spans="5:38" x14ac:dyDescent="0.25">
      <c r="E74" s="6">
        <v>15</v>
      </c>
      <c r="F74" s="24">
        <f t="shared" si="24"/>
        <v>112.14051031846383</v>
      </c>
      <c r="G74" s="6">
        <v>0.02</v>
      </c>
      <c r="H74" s="6">
        <f t="shared" si="25"/>
        <v>83.322050995048158</v>
      </c>
      <c r="L74" s="6">
        <v>15</v>
      </c>
      <c r="M74" s="24">
        <f t="shared" si="26"/>
        <v>86.16824474732995</v>
      </c>
      <c r="N74" s="6">
        <v>0.02</v>
      </c>
      <c r="O74" s="6">
        <f t="shared" si="27"/>
        <v>64.024275104522005</v>
      </c>
      <c r="Q74" s="18"/>
      <c r="R74" s="18"/>
      <c r="S74" s="18"/>
      <c r="T74" s="18"/>
      <c r="U74" s="18"/>
      <c r="V74" s="6">
        <v>15</v>
      </c>
      <c r="W74" s="24">
        <f t="shared" si="28"/>
        <v>76.60089086814672</v>
      </c>
      <c r="X74" s="6">
        <v>0.02</v>
      </c>
      <c r="Y74" s="6">
        <f t="shared" si="29"/>
        <v>56.915590245276071</v>
      </c>
      <c r="AB74" s="18"/>
      <c r="AC74" s="6">
        <v>15</v>
      </c>
      <c r="AD74" s="24">
        <f t="shared" si="30"/>
        <v>50.628625297012846</v>
      </c>
      <c r="AE74" s="6">
        <v>0.02</v>
      </c>
      <c r="AF74" s="6">
        <f t="shared" si="31"/>
        <v>37.617814354749918</v>
      </c>
      <c r="AH74" s="18"/>
      <c r="AI74" s="18"/>
      <c r="AJ74" s="18"/>
      <c r="AK74" s="18"/>
      <c r="AL74" s="18"/>
    </row>
    <row r="75" spans="5:38" x14ac:dyDescent="0.25">
      <c r="E75" s="6">
        <v>16</v>
      </c>
      <c r="F75" s="24">
        <f t="shared" si="24"/>
        <v>112.14051031846383</v>
      </c>
      <c r="G75" s="6">
        <v>0.02</v>
      </c>
      <c r="H75" s="6">
        <f t="shared" si="25"/>
        <v>81.688285289262893</v>
      </c>
      <c r="L75" s="6">
        <v>16</v>
      </c>
      <c r="M75" s="24">
        <f t="shared" si="26"/>
        <v>86.16824474732995</v>
      </c>
      <c r="N75" s="6">
        <v>0.02</v>
      </c>
      <c r="O75" s="6">
        <f t="shared" si="27"/>
        <v>62.768897161296074</v>
      </c>
      <c r="Q75" s="18"/>
      <c r="R75" s="18"/>
      <c r="S75" s="18"/>
      <c r="T75" s="18"/>
      <c r="U75" s="18"/>
      <c r="V75" s="6">
        <v>16</v>
      </c>
      <c r="W75" s="24">
        <f t="shared" si="28"/>
        <v>76.60089086814672</v>
      </c>
      <c r="X75" s="6">
        <v>0.02</v>
      </c>
      <c r="Y75" s="6">
        <f t="shared" si="29"/>
        <v>55.799598279682414</v>
      </c>
      <c r="AB75" s="18"/>
      <c r="AC75" s="6">
        <v>16</v>
      </c>
      <c r="AD75" s="24">
        <f t="shared" si="30"/>
        <v>50.628625297012846</v>
      </c>
      <c r="AE75" s="6">
        <v>0.02</v>
      </c>
      <c r="AF75" s="6">
        <f t="shared" si="31"/>
        <v>36.880210151715602</v>
      </c>
      <c r="AH75" s="18"/>
      <c r="AI75" s="18"/>
      <c r="AJ75" s="18"/>
      <c r="AK75" s="18"/>
      <c r="AL75" s="18"/>
    </row>
    <row r="76" spans="5:38" x14ac:dyDescent="0.25">
      <c r="E76" s="6">
        <v>17</v>
      </c>
      <c r="F76" s="24">
        <f t="shared" si="24"/>
        <v>112.14051031846383</v>
      </c>
      <c r="G76" s="6">
        <v>0.02</v>
      </c>
      <c r="H76" s="6">
        <f t="shared" si="25"/>
        <v>80.086554205159686</v>
      </c>
      <c r="L76" s="6">
        <v>17</v>
      </c>
      <c r="M76" s="24">
        <f t="shared" si="26"/>
        <v>86.16824474732995</v>
      </c>
      <c r="N76" s="6">
        <v>0.02</v>
      </c>
      <c r="O76" s="6">
        <f t="shared" si="27"/>
        <v>61.538134471858896</v>
      </c>
      <c r="Q76" s="18"/>
      <c r="R76" s="18"/>
      <c r="S76" s="18"/>
      <c r="T76" s="18"/>
      <c r="U76" s="18"/>
      <c r="V76" s="6">
        <v>17</v>
      </c>
      <c r="W76" s="24">
        <f t="shared" si="28"/>
        <v>76.60089086814672</v>
      </c>
      <c r="X76" s="6">
        <v>0.02</v>
      </c>
      <c r="Y76" s="6">
        <f t="shared" si="29"/>
        <v>54.705488509492554</v>
      </c>
      <c r="AB76" s="18"/>
      <c r="AC76" s="6">
        <v>17</v>
      </c>
      <c r="AD76" s="24">
        <f t="shared" si="30"/>
        <v>50.628625297012846</v>
      </c>
      <c r="AE76" s="6">
        <v>0.02</v>
      </c>
      <c r="AF76" s="6">
        <f t="shared" si="31"/>
        <v>36.157068776191757</v>
      </c>
      <c r="AH76" s="18"/>
      <c r="AI76" s="18"/>
      <c r="AJ76" s="18"/>
      <c r="AK76" s="18"/>
      <c r="AL76" s="18"/>
    </row>
    <row r="77" spans="5:38" x14ac:dyDescent="0.25">
      <c r="E77" s="6">
        <v>18</v>
      </c>
      <c r="F77" s="24">
        <f t="shared" si="24"/>
        <v>112.14051031846383</v>
      </c>
      <c r="G77" s="6">
        <v>0.02</v>
      </c>
      <c r="H77" s="6">
        <f t="shared" si="25"/>
        <v>78.516229612901668</v>
      </c>
      <c r="L77" s="6">
        <v>18</v>
      </c>
      <c r="M77" s="24">
        <f t="shared" si="26"/>
        <v>86.16824474732995</v>
      </c>
      <c r="N77" s="6">
        <v>0.02</v>
      </c>
      <c r="O77" s="6">
        <f t="shared" si="27"/>
        <v>60.331504384175389</v>
      </c>
      <c r="Q77" s="18"/>
      <c r="R77" s="18"/>
      <c r="S77" s="18"/>
      <c r="T77" s="18"/>
      <c r="U77" s="18"/>
      <c r="V77" s="6">
        <v>18</v>
      </c>
      <c r="W77" s="24">
        <f t="shared" si="28"/>
        <v>76.60089086814672</v>
      </c>
      <c r="X77" s="6">
        <v>0.02</v>
      </c>
      <c r="Y77" s="6">
        <f t="shared" si="29"/>
        <v>53.632831872051533</v>
      </c>
      <c r="AB77" s="18"/>
      <c r="AC77" s="6">
        <v>18</v>
      </c>
      <c r="AD77" s="24">
        <f t="shared" si="30"/>
        <v>50.628625297012846</v>
      </c>
      <c r="AE77" s="6">
        <v>0.02</v>
      </c>
      <c r="AF77" s="6">
        <f t="shared" si="31"/>
        <v>35.448106643325261</v>
      </c>
      <c r="AH77" s="18"/>
      <c r="AI77" s="18"/>
      <c r="AJ77" s="18"/>
      <c r="AK77" s="18"/>
      <c r="AL77" s="18"/>
    </row>
    <row r="78" spans="5:38" x14ac:dyDescent="0.25">
      <c r="E78" s="6">
        <v>19</v>
      </c>
      <c r="F78" s="24">
        <f t="shared" si="24"/>
        <v>112.14051031846383</v>
      </c>
      <c r="G78" s="6">
        <v>0.02</v>
      </c>
      <c r="H78" s="6">
        <f t="shared" si="25"/>
        <v>76.976695698923209</v>
      </c>
      <c r="L78" s="6">
        <v>19</v>
      </c>
      <c r="M78" s="24">
        <f t="shared" si="26"/>
        <v>86.16824474732995</v>
      </c>
      <c r="N78" s="6">
        <v>0.02</v>
      </c>
      <c r="O78" s="6">
        <f t="shared" si="27"/>
        <v>59.148533709975879</v>
      </c>
      <c r="Q78" s="18"/>
      <c r="R78" s="18"/>
      <c r="S78" s="18"/>
      <c r="T78" s="18"/>
      <c r="U78" s="18"/>
      <c r="V78" s="6">
        <v>19</v>
      </c>
      <c r="W78" s="24">
        <f t="shared" si="28"/>
        <v>76.60089086814672</v>
      </c>
      <c r="X78" s="6">
        <v>0.02</v>
      </c>
      <c r="Y78" s="6">
        <f t="shared" si="29"/>
        <v>52.581207717697581</v>
      </c>
      <c r="AB78" s="18"/>
      <c r="AC78" s="6">
        <v>19</v>
      </c>
      <c r="AD78" s="24">
        <f t="shared" si="30"/>
        <v>50.628625297012846</v>
      </c>
      <c r="AE78" s="6">
        <v>0.02</v>
      </c>
      <c r="AF78" s="6">
        <f t="shared" si="31"/>
        <v>34.753045728750259</v>
      </c>
      <c r="AH78" s="18"/>
      <c r="AI78" s="18"/>
      <c r="AJ78" s="18"/>
      <c r="AK78" s="18"/>
      <c r="AL78" s="18"/>
    </row>
    <row r="79" spans="5:38" x14ac:dyDescent="0.25">
      <c r="E79" s="6">
        <v>20</v>
      </c>
      <c r="F79" s="24">
        <f t="shared" si="24"/>
        <v>112.14051031846383</v>
      </c>
      <c r="G79" s="6">
        <v>0.02</v>
      </c>
      <c r="H79" s="6">
        <f t="shared" si="25"/>
        <v>75.467348724434501</v>
      </c>
      <c r="L79" s="6">
        <v>20</v>
      </c>
      <c r="M79" s="24">
        <f t="shared" si="26"/>
        <v>86.16824474732995</v>
      </c>
      <c r="N79" s="6">
        <v>0.02</v>
      </c>
      <c r="O79" s="6">
        <f t="shared" si="27"/>
        <v>57.988758539192027</v>
      </c>
      <c r="Q79" s="18"/>
      <c r="R79" s="18"/>
      <c r="S79" s="18"/>
      <c r="T79" s="18"/>
      <c r="U79" s="18"/>
      <c r="V79" s="6">
        <v>20</v>
      </c>
      <c r="W79" s="24">
        <f t="shared" si="28"/>
        <v>76.60089086814672</v>
      </c>
      <c r="X79" s="6">
        <v>0.02</v>
      </c>
      <c r="Y79" s="6">
        <f t="shared" si="29"/>
        <v>51.550203644801542</v>
      </c>
      <c r="AB79" s="18"/>
      <c r="AC79" s="6">
        <v>20</v>
      </c>
      <c r="AD79" s="24">
        <f t="shared" si="30"/>
        <v>50.628625297012846</v>
      </c>
      <c r="AE79" s="6">
        <v>0.02</v>
      </c>
      <c r="AF79" s="6">
        <f t="shared" si="31"/>
        <v>34.071613459559067</v>
      </c>
      <c r="AH79" s="18"/>
      <c r="AI79" s="18"/>
      <c r="AJ79" s="18"/>
      <c r="AK79" s="18"/>
      <c r="AL79" s="18"/>
    </row>
    <row r="80" spans="5:38" x14ac:dyDescent="0.25">
      <c r="E80" s="6" t="s">
        <v>269</v>
      </c>
      <c r="F80" s="35"/>
      <c r="G80" s="6"/>
      <c r="H80" s="6">
        <f>-SUM(H59:H79)</f>
        <v>-1917.7470797014666</v>
      </c>
      <c r="L80" s="6" t="s">
        <v>269</v>
      </c>
      <c r="M80" s="35"/>
      <c r="N80" s="6"/>
      <c r="O80" s="6">
        <f>-SUM(O59:O79)</f>
        <v>-1493.0633104068966</v>
      </c>
      <c r="Q80" s="18"/>
      <c r="R80" s="18"/>
      <c r="S80" s="18"/>
      <c r="T80" s="18"/>
      <c r="U80" s="18"/>
      <c r="V80" s="6" t="s">
        <v>269</v>
      </c>
      <c r="W80" s="35"/>
      <c r="X80" s="6"/>
      <c r="Y80" s="6">
        <f>-SUM(Y59:Y79)</f>
        <v>-1336.6233611672592</v>
      </c>
      <c r="AB80" s="18"/>
      <c r="AC80" s="6" t="s">
        <v>269</v>
      </c>
      <c r="AD80" s="35"/>
      <c r="AE80" s="6"/>
      <c r="AF80" s="6">
        <f>-SUM(AF59:AF79)</f>
        <v>-911.93959187268899</v>
      </c>
      <c r="AH80" s="18"/>
      <c r="AI80" s="18"/>
      <c r="AJ80" s="18"/>
      <c r="AK80" s="18"/>
      <c r="AL80" s="18"/>
    </row>
    <row r="81" spans="5:38" x14ac:dyDescent="0.25">
      <c r="E81" s="6" t="s">
        <v>270</v>
      </c>
      <c r="F81" s="6"/>
      <c r="G81" s="6"/>
      <c r="H81" s="6">
        <f>H80*(((1.02^20)*(1.02-1))/((1.02^20)-1))</f>
        <v>-117.28311758890152</v>
      </c>
      <c r="L81" s="6" t="s">
        <v>270</v>
      </c>
      <c r="M81" s="6"/>
      <c r="N81" s="6"/>
      <c r="O81" s="6">
        <f>O80*(((1.02^20)*(1.02-1))/((1.02^20)-1))</f>
        <v>-91.310852017767616</v>
      </c>
      <c r="Q81" s="18"/>
      <c r="R81" s="18"/>
      <c r="S81" s="18"/>
      <c r="T81" s="18"/>
      <c r="U81" s="18"/>
      <c r="V81" s="6" t="s">
        <v>270</v>
      </c>
      <c r="W81" s="6"/>
      <c r="X81" s="6"/>
      <c r="Y81" s="6">
        <f>Y80*(((1.02^20)*(1.02-1))/((1.02^20)-1))</f>
        <v>-81.743498138584357</v>
      </c>
      <c r="AB81" s="18"/>
      <c r="AC81" s="6" t="s">
        <v>270</v>
      </c>
      <c r="AD81" s="6"/>
      <c r="AE81" s="6"/>
      <c r="AF81" s="6">
        <f>AF80*(((1.02^20)*(1.02-1))/((1.02^20)-1))</f>
        <v>-55.771232567450454</v>
      </c>
      <c r="AH81" s="18"/>
      <c r="AI81" s="18"/>
      <c r="AJ81" s="18"/>
      <c r="AK81" s="18"/>
      <c r="AL81" s="18"/>
    </row>
    <row r="82" spans="5:38" x14ac:dyDescent="0.25">
      <c r="F82" s="1"/>
      <c r="M82" s="1"/>
      <c r="Q82" s="18"/>
      <c r="R82" s="18"/>
      <c r="S82" s="18"/>
      <c r="T82" s="18"/>
      <c r="U82" s="18"/>
      <c r="W82" s="1"/>
      <c r="AB82" s="18"/>
      <c r="AD82" s="1"/>
      <c r="AH82" s="18"/>
      <c r="AI82" s="18"/>
      <c r="AJ82" s="18"/>
      <c r="AK82" s="18"/>
      <c r="AL82" s="18"/>
    </row>
    <row r="83" spans="5:38" x14ac:dyDescent="0.25">
      <c r="F83" s="6" t="s">
        <v>276</v>
      </c>
      <c r="G83" s="6" t="s">
        <v>273</v>
      </c>
      <c r="H83" s="6" t="s">
        <v>263</v>
      </c>
      <c r="M83" s="6" t="s">
        <v>276</v>
      </c>
      <c r="N83" s="6" t="s">
        <v>273</v>
      </c>
      <c r="O83" s="6" t="s">
        <v>263</v>
      </c>
      <c r="Q83" s="18"/>
      <c r="R83" s="18"/>
      <c r="S83" s="18"/>
      <c r="T83" s="18"/>
      <c r="U83" s="18"/>
      <c r="W83" s="6" t="s">
        <v>276</v>
      </c>
      <c r="X83" s="6" t="s">
        <v>273</v>
      </c>
      <c r="Y83" s="6" t="s">
        <v>263</v>
      </c>
      <c r="AB83" s="18"/>
      <c r="AD83" s="6" t="s">
        <v>276</v>
      </c>
      <c r="AE83" s="6" t="s">
        <v>273</v>
      </c>
      <c r="AF83" s="6" t="s">
        <v>263</v>
      </c>
      <c r="AH83" s="18"/>
      <c r="AI83" s="18"/>
      <c r="AJ83" s="18"/>
      <c r="AK83" s="18"/>
      <c r="AL83" s="18"/>
    </row>
    <row r="84" spans="5:38" x14ac:dyDescent="0.25">
      <c r="F84" s="6" t="s">
        <v>325</v>
      </c>
      <c r="G84" s="29">
        <v>-2017</v>
      </c>
      <c r="H84" s="29">
        <v>-1917</v>
      </c>
      <c r="M84" s="6" t="s">
        <v>325</v>
      </c>
      <c r="N84" s="29">
        <v>-1593</v>
      </c>
      <c r="O84" s="29">
        <v>-1493</v>
      </c>
      <c r="Q84" s="18"/>
      <c r="R84" s="18"/>
      <c r="S84" s="18"/>
      <c r="T84" s="18"/>
      <c r="U84" s="18"/>
      <c r="W84" s="6" t="s">
        <v>325</v>
      </c>
      <c r="X84" s="29">
        <v>-1436</v>
      </c>
      <c r="Y84" s="29">
        <v>-1336</v>
      </c>
      <c r="AB84" s="18"/>
      <c r="AD84" s="6" t="s">
        <v>325</v>
      </c>
      <c r="AE84" s="29">
        <v>-1011</v>
      </c>
      <c r="AF84" s="29">
        <v>-911</v>
      </c>
      <c r="AH84" s="18"/>
      <c r="AI84" s="18"/>
      <c r="AJ84" s="18"/>
      <c r="AK84" s="18"/>
      <c r="AL84" s="18"/>
    </row>
    <row r="85" spans="5:38" x14ac:dyDescent="0.25">
      <c r="F85" s="6" t="s">
        <v>326</v>
      </c>
      <c r="G85" s="29">
        <v>-123</v>
      </c>
      <c r="H85" s="29">
        <v>-117</v>
      </c>
      <c r="M85" s="6" t="s">
        <v>334</v>
      </c>
      <c r="N85" s="29">
        <f>-97-21.8</f>
        <v>-118.8</v>
      </c>
      <c r="O85" s="29">
        <f>-91-10.2</f>
        <v>-101.2</v>
      </c>
      <c r="Q85" s="18"/>
      <c r="R85" s="18"/>
      <c r="S85" s="18"/>
      <c r="T85" s="18"/>
      <c r="U85" s="18"/>
      <c r="W85" s="6" t="s">
        <v>334</v>
      </c>
      <c r="X85" s="29">
        <f>-87-21.2</f>
        <v>-108.2</v>
      </c>
      <c r="Y85" s="29">
        <f>-81.7-21.2</f>
        <v>-102.9</v>
      </c>
      <c r="AB85" s="18"/>
      <c r="AD85" s="6" t="s">
        <v>334</v>
      </c>
      <c r="AE85" s="29">
        <f>-61-21.2-21.8</f>
        <v>-104</v>
      </c>
      <c r="AF85" s="29">
        <f>-55-7.8-10.2</f>
        <v>-73</v>
      </c>
      <c r="AH85" s="18"/>
      <c r="AI85" s="18"/>
      <c r="AJ85" s="18"/>
      <c r="AK85" s="18"/>
      <c r="AL85" s="18"/>
    </row>
    <row r="86" spans="5:38" x14ac:dyDescent="0.25"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</row>
    <row r="87" spans="5:38" x14ac:dyDescent="0.25"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</row>
    <row r="88" spans="5:38" x14ac:dyDescent="0.25"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</row>
    <row r="89" spans="5:38" x14ac:dyDescent="0.25"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</row>
    <row r="90" spans="5:38" x14ac:dyDescent="0.25"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</row>
    <row r="91" spans="5:38" x14ac:dyDescent="0.25"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</row>
    <row r="92" spans="5:38" x14ac:dyDescent="0.25"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</row>
    <row r="93" spans="5:38" x14ac:dyDescent="0.25"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</row>
    <row r="94" spans="5:38" x14ac:dyDescent="0.25"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</row>
    <row r="95" spans="5:38" x14ac:dyDescent="0.25"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</row>
    <row r="96" spans="5:38" x14ac:dyDescent="0.25"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</row>
    <row r="97" spans="13:36" x14ac:dyDescent="0.25"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</row>
    <row r="98" spans="13:36" x14ac:dyDescent="0.25"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</row>
    <row r="99" spans="13:36" x14ac:dyDescent="0.25"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</row>
    <row r="100" spans="13:36" x14ac:dyDescent="0.25"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</row>
    <row r="101" spans="13:36" x14ac:dyDescent="0.25"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</row>
    <row r="102" spans="13:36" x14ac:dyDescent="0.25"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</row>
    <row r="103" spans="13:36" x14ac:dyDescent="0.25"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</row>
    <row r="104" spans="13:36" x14ac:dyDescent="0.25">
      <c r="M104" s="18"/>
      <c r="N104" s="18"/>
      <c r="O104" s="33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</row>
    <row r="105" spans="13:36" x14ac:dyDescent="0.25"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</row>
    <row r="106" spans="13:36" x14ac:dyDescent="0.25"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</row>
    <row r="107" spans="13:36" x14ac:dyDescent="0.25"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</row>
    <row r="108" spans="13:36" x14ac:dyDescent="0.25"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</row>
    <row r="109" spans="13:36" x14ac:dyDescent="0.25"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</row>
    <row r="110" spans="13:36" x14ac:dyDescent="0.25"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</row>
    <row r="111" spans="13:36" x14ac:dyDescent="0.25"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</row>
    <row r="112" spans="13:36" x14ac:dyDescent="0.25"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</row>
    <row r="113" spans="13:36" x14ac:dyDescent="0.25"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</row>
    <row r="114" spans="13:36" x14ac:dyDescent="0.25"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</row>
    <row r="115" spans="13:36" x14ac:dyDescent="0.25"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</row>
    <row r="116" spans="13:36" x14ac:dyDescent="0.25"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</row>
    <row r="117" spans="13:36" x14ac:dyDescent="0.25"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</row>
    <row r="118" spans="13:36" x14ac:dyDescent="0.25"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</row>
    <row r="119" spans="13:36" x14ac:dyDescent="0.25"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</row>
    <row r="120" spans="13:36" x14ac:dyDescent="0.25"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</row>
    <row r="121" spans="13:36" x14ac:dyDescent="0.25"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</row>
    <row r="122" spans="13:36" x14ac:dyDescent="0.25"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</row>
  </sheetData>
  <mergeCells count="5">
    <mergeCell ref="F11:J11"/>
    <mergeCell ref="B30:D30"/>
    <mergeCell ref="W11:AA11"/>
    <mergeCell ref="AD11:AJ11"/>
    <mergeCell ref="M11:U11"/>
  </mergeCells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719F4-7600-4788-A843-2BB15A6F157F}">
  <dimension ref="B1:AG81"/>
  <sheetViews>
    <sheetView tabSelected="1" zoomScale="40" zoomScaleNormal="40" workbookViewId="0">
      <selection activeCell="Q34" sqref="Q34"/>
    </sheetView>
  </sheetViews>
  <sheetFormatPr defaultRowHeight="15.75" x14ac:dyDescent="0.25"/>
  <cols>
    <col min="2" max="2" width="66.625" bestFit="1" customWidth="1"/>
    <col min="3" max="3" width="11.625" bestFit="1" customWidth="1"/>
    <col min="6" max="6" width="23.875" bestFit="1" customWidth="1"/>
    <col min="7" max="7" width="8" bestFit="1" customWidth="1"/>
    <col min="8" max="8" width="11.875" bestFit="1" customWidth="1"/>
    <col min="11" max="11" width="5.125" bestFit="1" customWidth="1"/>
    <col min="12" max="12" width="27.875" bestFit="1" customWidth="1"/>
    <col min="13" max="13" width="17.75" bestFit="1" customWidth="1"/>
    <col min="14" max="14" width="17.875" bestFit="1" customWidth="1"/>
    <col min="15" max="15" width="6.5" bestFit="1" customWidth="1"/>
    <col min="16" max="16" width="8.625" bestFit="1" customWidth="1"/>
    <col min="17" max="17" width="14.5" bestFit="1" customWidth="1"/>
    <col min="18" max="18" width="18.125" bestFit="1" customWidth="1"/>
    <col min="19" max="19" width="13.375" customWidth="1"/>
    <col min="22" max="22" width="5.125" bestFit="1" customWidth="1"/>
    <col min="23" max="23" width="27.875" bestFit="1" customWidth="1"/>
    <col min="24" max="24" width="15.625" bestFit="1" customWidth="1"/>
    <col min="25" max="25" width="17.875" bestFit="1" customWidth="1"/>
    <col min="26" max="26" width="5.75" bestFit="1" customWidth="1"/>
    <col min="27" max="27" width="7" bestFit="1" customWidth="1"/>
    <col min="28" max="28" width="14.5" bestFit="1" customWidth="1"/>
    <col min="29" max="29" width="13.5" bestFit="1" customWidth="1"/>
  </cols>
  <sheetData>
    <row r="1" spans="2:33" x14ac:dyDescent="0.25">
      <c r="F1" s="6"/>
      <c r="G1" s="6"/>
      <c r="H1" s="6"/>
    </row>
    <row r="2" spans="2:33" x14ac:dyDescent="0.25">
      <c r="B2" s="8" t="s">
        <v>105</v>
      </c>
      <c r="C2" s="8" t="s">
        <v>289</v>
      </c>
      <c r="F2" s="6" t="s">
        <v>168</v>
      </c>
      <c r="G2" s="6" t="s">
        <v>170</v>
      </c>
      <c r="H2" s="6" t="s">
        <v>169</v>
      </c>
    </row>
    <row r="3" spans="2:33" x14ac:dyDescent="0.25">
      <c r="B3" s="8" t="s">
        <v>167</v>
      </c>
      <c r="C3" s="9">
        <v>5</v>
      </c>
      <c r="F3" s="6" t="s">
        <v>172</v>
      </c>
      <c r="G3" s="6" t="s">
        <v>51</v>
      </c>
      <c r="H3" s="10" t="s">
        <v>255</v>
      </c>
      <c r="L3" s="40" t="s">
        <v>274</v>
      </c>
      <c r="M3" s="40"/>
      <c r="N3" s="40"/>
      <c r="O3" s="40"/>
      <c r="P3" s="40"/>
      <c r="Q3" s="40"/>
      <c r="R3" s="40"/>
      <c r="S3" s="40"/>
      <c r="T3" s="18"/>
      <c r="U3" s="18"/>
      <c r="W3" s="40" t="s">
        <v>275</v>
      </c>
      <c r="X3" s="40"/>
      <c r="Y3" s="40"/>
      <c r="Z3" s="40"/>
      <c r="AA3" s="40"/>
      <c r="AB3" s="40"/>
      <c r="AC3" s="40"/>
      <c r="AD3" s="40"/>
      <c r="AE3" s="40"/>
      <c r="AF3" s="6"/>
      <c r="AG3" s="6"/>
    </row>
    <row r="4" spans="2:33" ht="31.5" x14ac:dyDescent="0.25">
      <c r="B4" s="8" t="s">
        <v>161</v>
      </c>
      <c r="C4" s="9">
        <v>10</v>
      </c>
      <c r="F4" s="6" t="s">
        <v>256</v>
      </c>
      <c r="G4" s="6" t="s">
        <v>0</v>
      </c>
      <c r="H4" s="10" t="s">
        <v>257</v>
      </c>
      <c r="L4" s="6" t="s">
        <v>346</v>
      </c>
      <c r="M4" s="6" t="s">
        <v>313</v>
      </c>
      <c r="N4" s="6" t="s">
        <v>347</v>
      </c>
      <c r="O4" s="6" t="s">
        <v>341</v>
      </c>
      <c r="P4" s="6" t="s">
        <v>348</v>
      </c>
      <c r="Q4" s="6" t="s">
        <v>345</v>
      </c>
      <c r="R4" s="37" t="s">
        <v>328</v>
      </c>
      <c r="S4" s="37" t="s">
        <v>329</v>
      </c>
      <c r="T4" s="18"/>
      <c r="U4" s="18"/>
      <c r="W4" s="6" t="s">
        <v>346</v>
      </c>
      <c r="X4" s="6" t="s">
        <v>349</v>
      </c>
      <c r="Y4" s="6" t="s">
        <v>350</v>
      </c>
      <c r="Z4" s="6" t="s">
        <v>351</v>
      </c>
      <c r="AA4" s="6" t="s">
        <v>352</v>
      </c>
      <c r="AB4" s="6" t="s">
        <v>353</v>
      </c>
      <c r="AC4" s="37" t="s">
        <v>354</v>
      </c>
      <c r="AD4" s="37" t="s">
        <v>355</v>
      </c>
      <c r="AE4" s="37" t="s">
        <v>356</v>
      </c>
      <c r="AF4" s="37" t="s">
        <v>357</v>
      </c>
      <c r="AG4" s="37" t="s">
        <v>358</v>
      </c>
    </row>
    <row r="5" spans="2:33" x14ac:dyDescent="0.25">
      <c r="B5" s="6" t="s">
        <v>181</v>
      </c>
      <c r="C5" s="6">
        <v>20</v>
      </c>
      <c r="F5" s="6" t="s">
        <v>173</v>
      </c>
      <c r="G5" s="6" t="s">
        <v>174</v>
      </c>
      <c r="H5" s="10" t="s">
        <v>258</v>
      </c>
      <c r="L5" s="6" t="s">
        <v>170</v>
      </c>
      <c r="M5" s="6" t="s">
        <v>114</v>
      </c>
      <c r="N5" s="6" t="s">
        <v>114</v>
      </c>
      <c r="O5" s="6" t="s">
        <v>0</v>
      </c>
      <c r="P5" s="6" t="s">
        <v>114</v>
      </c>
      <c r="Q5" s="6" t="s">
        <v>114</v>
      </c>
      <c r="R5" s="7" t="s">
        <v>114</v>
      </c>
      <c r="S5" s="6" t="s">
        <v>114</v>
      </c>
      <c r="T5" s="18"/>
      <c r="U5" s="18"/>
      <c r="W5" s="6" t="s">
        <v>170</v>
      </c>
      <c r="X5" s="6" t="s">
        <v>114</v>
      </c>
      <c r="Y5" s="6" t="s">
        <v>114</v>
      </c>
      <c r="Z5" s="6" t="s">
        <v>0</v>
      </c>
      <c r="AA5" s="6" t="s">
        <v>114</v>
      </c>
      <c r="AB5" s="6" t="s">
        <v>114</v>
      </c>
      <c r="AC5" s="7" t="s">
        <v>114</v>
      </c>
      <c r="AD5" s="7" t="s">
        <v>114</v>
      </c>
      <c r="AE5" s="6" t="s">
        <v>114</v>
      </c>
      <c r="AF5" s="6" t="s">
        <v>114</v>
      </c>
      <c r="AG5" s="6" t="s">
        <v>114</v>
      </c>
    </row>
    <row r="6" spans="2:33" x14ac:dyDescent="0.25">
      <c r="B6" s="8" t="s">
        <v>290</v>
      </c>
      <c r="C6" s="19">
        <v>170</v>
      </c>
      <c r="F6" s="6" t="s">
        <v>259</v>
      </c>
      <c r="G6" s="6" t="s">
        <v>260</v>
      </c>
      <c r="H6" s="10" t="s">
        <v>261</v>
      </c>
      <c r="J6" s="6">
        <v>-2</v>
      </c>
      <c r="L6" s="6" t="s">
        <v>118</v>
      </c>
      <c r="M6" s="23">
        <v>3.4699551172221925</v>
      </c>
      <c r="N6" s="23">
        <v>0.1414274363625162</v>
      </c>
      <c r="O6" s="23">
        <f>$G$11-(7-J6)*$H$16</f>
        <v>3.4463157894736831</v>
      </c>
      <c r="P6" s="24">
        <v>4.8766666666666673E-2</v>
      </c>
      <c r="Q6" s="23">
        <f>(M6+N6)/O6</f>
        <v>1.0478965870206092</v>
      </c>
      <c r="R6" s="23">
        <v>0.13415355887369362</v>
      </c>
      <c r="S6" s="23">
        <v>0.30473324932478235</v>
      </c>
      <c r="T6" s="18"/>
      <c r="U6" s="27"/>
      <c r="W6" s="6" t="s">
        <v>118</v>
      </c>
      <c r="X6" s="23">
        <v>3.4699551172221925</v>
      </c>
      <c r="Y6" s="23">
        <v>0.1414274363625162</v>
      </c>
      <c r="Z6" s="23">
        <f>$G$11-(7-J6)*$H$16</f>
        <v>3.4463157894736831</v>
      </c>
      <c r="AA6" s="24">
        <v>4.8766666666666673E-2</v>
      </c>
      <c r="AB6" s="23">
        <f>(X6+Y6)/Z6</f>
        <v>1.0478965870206092</v>
      </c>
      <c r="AC6" s="23">
        <v>0.20380000000000001</v>
      </c>
      <c r="AD6" s="23">
        <v>0.13415355887369362</v>
      </c>
      <c r="AE6" s="23">
        <v>0.30473324932478235</v>
      </c>
      <c r="AF6" s="23">
        <f>AE6+AB6+AA6-(AC6-AD6)</f>
        <v>1.3317500618857516</v>
      </c>
      <c r="AG6" s="6">
        <v>0</v>
      </c>
    </row>
    <row r="7" spans="2:33" x14ac:dyDescent="0.25">
      <c r="B7" s="6" t="s">
        <v>291</v>
      </c>
      <c r="C7" s="6">
        <v>19</v>
      </c>
      <c r="H7" s="4"/>
      <c r="J7" s="6">
        <v>0.9</v>
      </c>
      <c r="L7" s="6" t="s">
        <v>119</v>
      </c>
      <c r="M7" s="23">
        <v>2.9807125298086823</v>
      </c>
      <c r="N7" s="23">
        <v>0.13579279084039536</v>
      </c>
      <c r="O7" s="23">
        <f t="shared" ref="O7:O17" si="0">$G$11-(7-J7)*$H$16</f>
        <v>3.975947368421052</v>
      </c>
      <c r="P7" s="24">
        <v>4.8766666666666666E-2</v>
      </c>
      <c r="Q7" s="23">
        <f t="shared" ref="Q7:Q17" si="1">(M7+N7)/O7</f>
        <v>0.7838396819338983</v>
      </c>
      <c r="R7" s="23">
        <v>0.13190713689191322</v>
      </c>
      <c r="S7" s="23">
        <v>0.30044704951978302</v>
      </c>
      <c r="T7" s="18"/>
      <c r="U7" s="27"/>
      <c r="W7" s="6" t="s">
        <v>119</v>
      </c>
      <c r="X7" s="23">
        <v>2.9807125298086823</v>
      </c>
      <c r="Y7" s="23">
        <v>0.13579279084039536</v>
      </c>
      <c r="Z7" s="23">
        <f t="shared" ref="Z7:Z17" si="2">$G$11-(7-J7)*$H$16</f>
        <v>3.975947368421052</v>
      </c>
      <c r="AA7" s="24">
        <v>4.8766666666666666E-2</v>
      </c>
      <c r="AB7" s="23">
        <f t="shared" ref="AB7:AB17" si="3">(X7+Y7)/Z7</f>
        <v>0.7838396819338983</v>
      </c>
      <c r="AC7" s="23">
        <v>0.30374000000000001</v>
      </c>
      <c r="AD7" s="23">
        <v>0.13190713689191322</v>
      </c>
      <c r="AE7" s="23">
        <v>0.30044704951978302</v>
      </c>
      <c r="AF7" s="23">
        <f t="shared" ref="AF7:AF17" si="4">AE7+AB7+AA7-(AC7-AD7)</f>
        <v>0.96122053501226112</v>
      </c>
      <c r="AG7" s="6">
        <v>0</v>
      </c>
    </row>
    <row r="8" spans="2:33" x14ac:dyDescent="0.25">
      <c r="B8" s="7" t="s">
        <v>254</v>
      </c>
      <c r="C8" s="6">
        <v>38</v>
      </c>
      <c r="H8" s="4"/>
      <c r="J8" s="6">
        <v>2.9</v>
      </c>
      <c r="L8" s="6" t="s">
        <v>120</v>
      </c>
      <c r="M8" s="23">
        <v>2.6433038488338485</v>
      </c>
      <c r="N8" s="23">
        <v>0.13190682841134649</v>
      </c>
      <c r="O8" s="23">
        <f t="shared" si="0"/>
        <v>4.3412105263157894</v>
      </c>
      <c r="P8" s="24">
        <v>4.8766666666666666E-2</v>
      </c>
      <c r="Q8" s="23">
        <f t="shared" si="1"/>
        <v>0.63927115730100392</v>
      </c>
      <c r="R8" s="23">
        <v>0.13035788035275431</v>
      </c>
      <c r="S8" s="23">
        <v>0.29749104965426615</v>
      </c>
      <c r="T8" s="18"/>
      <c r="U8" s="27"/>
      <c r="W8" s="6" t="s">
        <v>120</v>
      </c>
      <c r="X8" s="23">
        <v>2.6433038488338485</v>
      </c>
      <c r="Y8" s="23">
        <v>0.13190682841134649</v>
      </c>
      <c r="Z8" s="23">
        <f t="shared" si="2"/>
        <v>4.3412105263157894</v>
      </c>
      <c r="AA8" s="24">
        <v>4.8766666666666666E-2</v>
      </c>
      <c r="AB8" s="23">
        <f t="shared" si="3"/>
        <v>0.63927115730100392</v>
      </c>
      <c r="AC8" s="23">
        <v>0.47790999999999995</v>
      </c>
      <c r="AD8" s="23">
        <v>0.13035788035275431</v>
      </c>
      <c r="AE8" s="23">
        <v>0.29749104965426615</v>
      </c>
      <c r="AF8" s="23">
        <f t="shared" si="4"/>
        <v>0.63797675397469111</v>
      </c>
      <c r="AG8" s="6">
        <v>0</v>
      </c>
    </row>
    <row r="9" spans="2:33" x14ac:dyDescent="0.25">
      <c r="B9" s="8" t="s">
        <v>166</v>
      </c>
      <c r="C9" s="9">
        <f>SUM(C3:C8)</f>
        <v>262</v>
      </c>
      <c r="H9" s="4"/>
      <c r="J9" s="6">
        <v>7.9</v>
      </c>
      <c r="L9" s="6" t="s">
        <v>121</v>
      </c>
      <c r="M9" s="23">
        <v>1.7997821463967629</v>
      </c>
      <c r="N9" s="23">
        <v>0.12219192233872431</v>
      </c>
      <c r="O9" s="23">
        <f t="shared" si="0"/>
        <v>5.2543684210526314</v>
      </c>
      <c r="P9" s="24">
        <v>4.8766666666666666E-2</v>
      </c>
      <c r="Q9" s="23">
        <f t="shared" si="1"/>
        <v>0.36578593557214806</v>
      </c>
      <c r="R9" s="23">
        <v>0.12648473900485704</v>
      </c>
      <c r="S9" s="23">
        <v>0.29010104999047404</v>
      </c>
      <c r="T9" s="18"/>
      <c r="U9" s="27"/>
      <c r="W9" s="6" t="s">
        <v>121</v>
      </c>
      <c r="X9" s="23">
        <v>1.7997821463967629</v>
      </c>
      <c r="Y9" s="23">
        <v>0.12219192233872431</v>
      </c>
      <c r="Z9" s="23">
        <f t="shared" si="2"/>
        <v>5.2543684210526314</v>
      </c>
      <c r="AA9" s="24">
        <v>4.8766666666666666E-2</v>
      </c>
      <c r="AB9" s="23">
        <f t="shared" si="3"/>
        <v>0.36578593557214806</v>
      </c>
      <c r="AC9" s="23">
        <v>0.61435000000000006</v>
      </c>
      <c r="AD9" s="23">
        <v>0.12648473900485704</v>
      </c>
      <c r="AE9" s="23">
        <v>0.29010104999047404</v>
      </c>
      <c r="AF9" s="23">
        <f t="shared" si="4"/>
        <v>0.21678839123414573</v>
      </c>
      <c r="AG9" s="6">
        <v>0</v>
      </c>
    </row>
    <row r="10" spans="2:33" x14ac:dyDescent="0.25">
      <c r="B10" s="20"/>
      <c r="C10" s="21"/>
      <c r="F10" s="6" t="s">
        <v>342</v>
      </c>
      <c r="G10" s="6" t="s">
        <v>341</v>
      </c>
      <c r="H10" s="10"/>
      <c r="J10" s="6">
        <v>13</v>
      </c>
      <c r="L10" s="6" t="s">
        <v>122</v>
      </c>
      <c r="M10" s="23">
        <v>0.93939000991093646</v>
      </c>
      <c r="N10" s="23">
        <v>0.11228271814464968</v>
      </c>
      <c r="O10" s="23">
        <f t="shared" si="0"/>
        <v>6.1857894736842107</v>
      </c>
      <c r="P10" s="24">
        <v>4.8766666666666666E-2</v>
      </c>
      <c r="Q10" s="23">
        <f t="shared" si="1"/>
        <v>0.17001430981924731</v>
      </c>
      <c r="R10" s="23">
        <v>0.12253413483000189</v>
      </c>
      <c r="S10" s="23">
        <v>0.28256325033340618</v>
      </c>
      <c r="T10" s="18"/>
      <c r="U10" s="27"/>
      <c r="W10" s="6" t="s">
        <v>122</v>
      </c>
      <c r="X10" s="23">
        <v>0.93939000991093646</v>
      </c>
      <c r="Y10" s="23">
        <v>0.11228271814464968</v>
      </c>
      <c r="Z10" s="23">
        <f t="shared" si="2"/>
        <v>6.1857894736842107</v>
      </c>
      <c r="AA10" s="24">
        <v>4.8766666666666666E-2</v>
      </c>
      <c r="AB10" s="23">
        <f t="shared" si="3"/>
        <v>0.17001430981924731</v>
      </c>
      <c r="AC10" s="23">
        <v>0.59326999999999996</v>
      </c>
      <c r="AD10" s="23">
        <v>0.12253413483000189</v>
      </c>
      <c r="AE10" s="23">
        <v>0.28256325033340618</v>
      </c>
      <c r="AF10" s="23">
        <f t="shared" si="4"/>
        <v>3.0608361649322013E-2</v>
      </c>
      <c r="AG10" s="6">
        <v>0</v>
      </c>
    </row>
    <row r="11" spans="2:33" x14ac:dyDescent="0.25">
      <c r="B11" s="20"/>
      <c r="C11" s="21"/>
      <c r="F11" s="6">
        <v>7</v>
      </c>
      <c r="G11" s="6">
        <v>5.09</v>
      </c>
      <c r="H11" s="38">
        <f>$G$11-(7-F11)*$H$16</f>
        <v>5.09</v>
      </c>
      <c r="J11" s="6">
        <v>15.8</v>
      </c>
      <c r="L11" s="6" t="s">
        <v>123</v>
      </c>
      <c r="M11" s="23">
        <v>0</v>
      </c>
      <c r="N11" s="23">
        <v>0.10684237074398127</v>
      </c>
      <c r="O11" s="23">
        <f t="shared" si="0"/>
        <v>6.6971578947368426</v>
      </c>
      <c r="P11" s="24">
        <v>4.8766666666666666E-2</v>
      </c>
      <c r="Q11" s="23">
        <f t="shared" si="1"/>
        <v>1.5953389844361662E-2</v>
      </c>
      <c r="R11" s="23">
        <v>0.12036517567517947</v>
      </c>
      <c r="S11" s="23">
        <v>0.2784248505216827</v>
      </c>
      <c r="T11" s="18"/>
      <c r="U11" s="27"/>
      <c r="W11" s="6" t="s">
        <v>123</v>
      </c>
      <c r="X11" s="23">
        <v>0</v>
      </c>
      <c r="Y11" s="23">
        <v>0.10684237074398127</v>
      </c>
      <c r="Z11" s="23">
        <f t="shared" si="2"/>
        <v>6.6971578947368426</v>
      </c>
      <c r="AA11" s="24">
        <v>4.8766666666666666E-2</v>
      </c>
      <c r="AB11" s="23">
        <f t="shared" si="3"/>
        <v>1.5953389844361662E-2</v>
      </c>
      <c r="AC11" s="23">
        <v>0.59128000000000003</v>
      </c>
      <c r="AD11" s="23">
        <v>0.12036517567517947</v>
      </c>
      <c r="AE11" s="23">
        <v>0.2784248505216827</v>
      </c>
      <c r="AF11" s="23">
        <v>0</v>
      </c>
      <c r="AG11" s="6">
        <v>0</v>
      </c>
    </row>
    <row r="12" spans="2:33" x14ac:dyDescent="0.25">
      <c r="B12" s="20"/>
      <c r="C12" s="21"/>
      <c r="F12" s="6">
        <v>2</v>
      </c>
      <c r="G12" s="6">
        <v>4.07</v>
      </c>
      <c r="H12" s="38">
        <f t="shared" ref="H12:H13" si="5">$G$11-(7-F12)*$H$16</f>
        <v>4.176842105263157</v>
      </c>
      <c r="J12" s="6">
        <v>17.8</v>
      </c>
      <c r="L12" s="6" t="s">
        <v>124</v>
      </c>
      <c r="M12" s="23">
        <v>0</v>
      </c>
      <c r="N12" s="23">
        <v>0.1029564083149324</v>
      </c>
      <c r="O12" s="23">
        <f t="shared" si="0"/>
        <v>7.0624210526315796</v>
      </c>
      <c r="P12" s="24">
        <v>4.8766666666666666E-2</v>
      </c>
      <c r="Q12" s="23">
        <f t="shared" si="1"/>
        <v>1.4578061481702379E-2</v>
      </c>
      <c r="R12" s="23">
        <v>0.11881591913602055</v>
      </c>
      <c r="S12" s="23">
        <v>0.27546885065616583</v>
      </c>
      <c r="T12" s="18"/>
      <c r="U12" s="27"/>
      <c r="W12" s="6" t="s">
        <v>124</v>
      </c>
      <c r="X12" s="23">
        <v>0</v>
      </c>
      <c r="Y12" s="23">
        <v>0.1029564083149324</v>
      </c>
      <c r="Z12" s="23">
        <f t="shared" si="2"/>
        <v>7.0624210526315796</v>
      </c>
      <c r="AA12" s="24">
        <v>4.8766666666666666E-2</v>
      </c>
      <c r="AB12" s="23">
        <f t="shared" si="3"/>
        <v>1.4578061481702379E-2</v>
      </c>
      <c r="AC12" s="23">
        <v>0.61365999999999998</v>
      </c>
      <c r="AD12" s="23">
        <v>0.11881591913602055</v>
      </c>
      <c r="AE12" s="23">
        <v>0.27546885065616583</v>
      </c>
      <c r="AF12" s="23">
        <v>0</v>
      </c>
      <c r="AG12" s="6">
        <v>0</v>
      </c>
    </row>
    <row r="13" spans="2:33" x14ac:dyDescent="0.25">
      <c r="B13" s="20"/>
      <c r="C13" s="21"/>
      <c r="F13" s="6">
        <v>-7</v>
      </c>
      <c r="G13" s="6">
        <v>2.64</v>
      </c>
      <c r="H13" s="38">
        <f t="shared" si="5"/>
        <v>2.5331578947368407</v>
      </c>
      <c r="J13" s="6">
        <v>17.3</v>
      </c>
      <c r="L13" s="6" t="s">
        <v>125</v>
      </c>
      <c r="M13" s="23">
        <v>0</v>
      </c>
      <c r="N13" s="23">
        <v>0.1039278989221946</v>
      </c>
      <c r="O13" s="23">
        <f t="shared" si="0"/>
        <v>6.9711052631578951</v>
      </c>
      <c r="P13" s="24">
        <v>4.8766666666666666E-2</v>
      </c>
      <c r="Q13" s="23">
        <f t="shared" si="1"/>
        <v>1.4908381813060659E-2</v>
      </c>
      <c r="R13" s="23">
        <v>0.11920323327081028</v>
      </c>
      <c r="S13" s="23">
        <v>0.27620785062254505</v>
      </c>
      <c r="T13" s="18"/>
      <c r="U13" s="27"/>
      <c r="W13" s="6" t="s">
        <v>125</v>
      </c>
      <c r="X13" s="23">
        <v>0</v>
      </c>
      <c r="Y13" s="23">
        <v>0.1039278989221946</v>
      </c>
      <c r="Z13" s="23">
        <f t="shared" si="2"/>
        <v>6.9711052631578951</v>
      </c>
      <c r="AA13" s="24">
        <v>4.8766666666666666E-2</v>
      </c>
      <c r="AB13" s="23">
        <f t="shared" si="3"/>
        <v>1.4908381813060659E-2</v>
      </c>
      <c r="AC13" s="23">
        <v>0.60553999999999997</v>
      </c>
      <c r="AD13" s="23">
        <v>0.11920323327081028</v>
      </c>
      <c r="AE13" s="23">
        <v>0.27620785062254505</v>
      </c>
      <c r="AF13" s="23">
        <v>0</v>
      </c>
      <c r="AG13" s="6">
        <v>0</v>
      </c>
    </row>
    <row r="14" spans="2:33" x14ac:dyDescent="0.25">
      <c r="B14" s="18"/>
      <c r="C14" s="18"/>
      <c r="F14" s="6"/>
      <c r="G14" s="6">
        <f>SUM(G11:G13)</f>
        <v>11.8</v>
      </c>
      <c r="H14" s="6">
        <f>SUM(H11:H13)</f>
        <v>11.799999999999997</v>
      </c>
      <c r="J14" s="6">
        <v>12.8</v>
      </c>
      <c r="L14" s="6" t="s">
        <v>126</v>
      </c>
      <c r="M14" s="23">
        <v>0.97313087800841969</v>
      </c>
      <c r="N14" s="23">
        <v>0.11267131438755458</v>
      </c>
      <c r="O14" s="23">
        <f t="shared" si="0"/>
        <v>6.1492631578947377</v>
      </c>
      <c r="P14" s="24">
        <v>4.8766666666666666E-2</v>
      </c>
      <c r="Q14" s="23">
        <f t="shared" si="1"/>
        <v>0.17657435769389149</v>
      </c>
      <c r="R14" s="23">
        <v>0.12268906048391778</v>
      </c>
      <c r="S14" s="23">
        <v>0.28285885031995783</v>
      </c>
      <c r="T14" s="18"/>
      <c r="U14" s="27"/>
      <c r="W14" s="6" t="s">
        <v>126</v>
      </c>
      <c r="X14" s="23">
        <v>0.97313087800841969</v>
      </c>
      <c r="Y14" s="23">
        <v>0.11267131438755458</v>
      </c>
      <c r="Z14" s="23">
        <f t="shared" si="2"/>
        <v>6.1492631578947377</v>
      </c>
      <c r="AA14" s="24">
        <v>4.8766666666666666E-2</v>
      </c>
      <c r="AB14" s="23">
        <f t="shared" si="3"/>
        <v>0.17657435769389149</v>
      </c>
      <c r="AC14" s="23">
        <v>0.52840000000000009</v>
      </c>
      <c r="AD14" s="23">
        <v>0.12268906048391778</v>
      </c>
      <c r="AE14" s="23">
        <v>0.28285885031995783</v>
      </c>
      <c r="AF14" s="23">
        <f t="shared" si="4"/>
        <v>0.10248893516443369</v>
      </c>
      <c r="AG14" s="6">
        <v>0</v>
      </c>
    </row>
    <row r="15" spans="2:33" x14ac:dyDescent="0.25">
      <c r="F15" s="6"/>
      <c r="G15" s="6"/>
      <c r="H15" s="10" t="s">
        <v>343</v>
      </c>
      <c r="J15" s="6">
        <v>8.1</v>
      </c>
      <c r="L15" s="6" t="s">
        <v>127</v>
      </c>
      <c r="M15" s="23">
        <v>1.7660412782992796</v>
      </c>
      <c r="N15" s="23">
        <v>0.12180332609581941</v>
      </c>
      <c r="O15" s="23">
        <f t="shared" si="0"/>
        <v>5.2908947368421053</v>
      </c>
      <c r="P15" s="24">
        <v>4.8766666666666666E-2</v>
      </c>
      <c r="Q15" s="23">
        <f t="shared" si="1"/>
        <v>0.35681008568351669</v>
      </c>
      <c r="R15" s="23">
        <v>0.12632981335094118</v>
      </c>
      <c r="S15" s="23">
        <v>0.28980545000392238</v>
      </c>
      <c r="T15" s="18"/>
      <c r="U15" s="27"/>
      <c r="W15" s="6" t="s">
        <v>127</v>
      </c>
      <c r="X15" s="23">
        <v>1.7660412782992796</v>
      </c>
      <c r="Y15" s="23">
        <v>0.12180332609581941</v>
      </c>
      <c r="Z15" s="23">
        <f t="shared" si="2"/>
        <v>5.2908947368421053</v>
      </c>
      <c r="AA15" s="24">
        <v>4.8766666666666666E-2</v>
      </c>
      <c r="AB15" s="23">
        <f t="shared" si="3"/>
        <v>0.35681008568351669</v>
      </c>
      <c r="AC15" s="23">
        <v>0.40316999999999997</v>
      </c>
      <c r="AD15" s="23">
        <v>0.12632981335094118</v>
      </c>
      <c r="AE15" s="23">
        <v>0.28980545000392238</v>
      </c>
      <c r="AF15" s="23">
        <f t="shared" si="4"/>
        <v>0.41854201570504684</v>
      </c>
      <c r="AG15" s="6">
        <v>0</v>
      </c>
    </row>
    <row r="16" spans="2:33" x14ac:dyDescent="0.25">
      <c r="B16" s="40" t="s">
        <v>307</v>
      </c>
      <c r="C16" s="40"/>
      <c r="D16" s="40"/>
      <c r="F16" s="6">
        <v>7</v>
      </c>
      <c r="G16" s="17">
        <f t="shared" ref="G16:G17" si="6">$G$12+F16*$H$16</f>
        <v>5.3484210526315801</v>
      </c>
      <c r="H16" s="17">
        <v>0.18263157894736851</v>
      </c>
      <c r="I16" s="28"/>
      <c r="J16" s="6">
        <v>2.9</v>
      </c>
      <c r="L16" s="6" t="s">
        <v>128</v>
      </c>
      <c r="M16" s="23">
        <v>2.6433038488338485</v>
      </c>
      <c r="N16" s="23">
        <v>0.13190682841134649</v>
      </c>
      <c r="O16" s="23">
        <f t="shared" si="0"/>
        <v>4.3412105263157894</v>
      </c>
      <c r="P16" s="24">
        <v>4.8766666666666666E-2</v>
      </c>
      <c r="Q16" s="23">
        <f t="shared" si="1"/>
        <v>0.63927115730100392</v>
      </c>
      <c r="R16" s="23">
        <v>0.13035788035275431</v>
      </c>
      <c r="S16" s="23">
        <v>0.29749104965426615</v>
      </c>
      <c r="T16" s="18"/>
      <c r="U16" s="27"/>
      <c r="W16" s="6" t="s">
        <v>128</v>
      </c>
      <c r="X16" s="23">
        <v>2.6433038488338485</v>
      </c>
      <c r="Y16" s="23">
        <v>0.13190682841134649</v>
      </c>
      <c r="Z16" s="23">
        <f t="shared" si="2"/>
        <v>4.3412105263157894</v>
      </c>
      <c r="AA16" s="24">
        <v>4.8766666666666666E-2</v>
      </c>
      <c r="AB16" s="23">
        <f t="shared" si="3"/>
        <v>0.63927115730100392</v>
      </c>
      <c r="AC16" s="23">
        <v>0.23233999999999996</v>
      </c>
      <c r="AD16" s="23">
        <v>0.13035788035275431</v>
      </c>
      <c r="AE16" s="23">
        <v>0.29749104965426615</v>
      </c>
      <c r="AF16" s="23">
        <f t="shared" si="4"/>
        <v>0.88354675397469107</v>
      </c>
      <c r="AG16" s="6">
        <v>0</v>
      </c>
    </row>
    <row r="17" spans="2:33" x14ac:dyDescent="0.25">
      <c r="B17" s="6" t="s">
        <v>305</v>
      </c>
      <c r="C17" s="6" t="s">
        <v>170</v>
      </c>
      <c r="D17" s="6" t="s">
        <v>160</v>
      </c>
      <c r="F17" s="6">
        <v>2</v>
      </c>
      <c r="G17" s="17">
        <f t="shared" si="6"/>
        <v>4.4352631578947372</v>
      </c>
      <c r="H17" s="17"/>
      <c r="J17" s="6">
        <v>-0.9</v>
      </c>
      <c r="L17" s="6" t="s">
        <v>129</v>
      </c>
      <c r="M17" s="23">
        <v>3.2843803426860321</v>
      </c>
      <c r="N17" s="23">
        <v>0.13929015702653935</v>
      </c>
      <c r="O17" s="23">
        <f t="shared" si="0"/>
        <v>3.6472105263157886</v>
      </c>
      <c r="P17" s="24">
        <v>4.8766666666666666E-2</v>
      </c>
      <c r="Q17" s="23">
        <f t="shared" si="1"/>
        <v>0.93870931634181665</v>
      </c>
      <c r="R17" s="23">
        <v>0.13330146777715621</v>
      </c>
      <c r="S17" s="23">
        <v>0.30310744939874812</v>
      </c>
      <c r="T17" s="18"/>
      <c r="U17" s="27"/>
      <c r="W17" s="6" t="s">
        <v>129</v>
      </c>
      <c r="X17" s="23">
        <v>3.2843803426860321</v>
      </c>
      <c r="Y17" s="23">
        <v>0.13929015702653935</v>
      </c>
      <c r="Z17" s="23">
        <f t="shared" si="2"/>
        <v>3.6472105263157886</v>
      </c>
      <c r="AA17" s="24">
        <v>4.8766666666666666E-2</v>
      </c>
      <c r="AB17" s="23">
        <f t="shared" si="3"/>
        <v>0.93870931634181665</v>
      </c>
      <c r="AC17" s="23">
        <v>0.20730999999999999</v>
      </c>
      <c r="AD17" s="23">
        <v>0.13330146777715621</v>
      </c>
      <c r="AE17" s="23">
        <v>0.30310744939874812</v>
      </c>
      <c r="AF17" s="23">
        <f t="shared" si="4"/>
        <v>1.2165749001843875</v>
      </c>
      <c r="AG17" s="6">
        <v>0</v>
      </c>
    </row>
    <row r="18" spans="2:33" x14ac:dyDescent="0.25">
      <c r="B18" s="6" t="s">
        <v>295</v>
      </c>
      <c r="C18" s="6" t="s">
        <v>268</v>
      </c>
      <c r="D18" s="6">
        <v>3900</v>
      </c>
      <c r="F18" s="6">
        <v>-7</v>
      </c>
      <c r="G18" s="17">
        <f>$G$13+F18*$H$16</f>
        <v>1.3615789473684206</v>
      </c>
      <c r="H18" s="10"/>
      <c r="L18" s="7" t="s">
        <v>166</v>
      </c>
      <c r="M18" s="23">
        <f>SUM(M6:M17)</f>
        <v>20.500000000000004</v>
      </c>
      <c r="N18" s="23">
        <f t="shared" ref="N18" si="7">SUM(N6:N17)</f>
        <v>1.4630000000000001</v>
      </c>
      <c r="O18" s="23"/>
      <c r="P18" s="23">
        <f>SUM(P6:P17)</f>
        <v>0.58520000000000005</v>
      </c>
      <c r="Q18" s="23">
        <f>SUM(Q6:Q17)</f>
        <v>5.1636124218062607</v>
      </c>
      <c r="R18" s="23">
        <f t="shared" ref="R18:S18" si="8">SUM(R6:R17)</f>
        <v>1.5164999999999997</v>
      </c>
      <c r="S18" s="23">
        <f t="shared" si="8"/>
        <v>3.4787000000000003</v>
      </c>
      <c r="T18" s="18"/>
      <c r="U18" s="18"/>
      <c r="W18" s="7" t="s">
        <v>166</v>
      </c>
      <c r="X18" s="23">
        <f>SUM(X6:X17)</f>
        <v>20.500000000000004</v>
      </c>
      <c r="Y18" s="23">
        <f t="shared" ref="Y18" si="9">SUM(Y6:Y17)</f>
        <v>1.4630000000000001</v>
      </c>
      <c r="Z18" s="23"/>
      <c r="AA18" s="23">
        <f>SUM(AA6:AA17)</f>
        <v>0.58520000000000005</v>
      </c>
      <c r="AB18" s="23">
        <f>SUM(AB6:AB17)</f>
        <v>5.1636124218062607</v>
      </c>
      <c r="AC18" s="23">
        <f t="shared" ref="AC18" si="10">SUM(AC6:AC17)</f>
        <v>5.3747699999999998</v>
      </c>
      <c r="AD18" s="23">
        <f t="shared" ref="AD18:AG18" si="11">SUM(AD6:AD17)</f>
        <v>1.5164999999999997</v>
      </c>
      <c r="AE18" s="23">
        <f t="shared" si="11"/>
        <v>3.4787000000000003</v>
      </c>
      <c r="AF18" s="23">
        <f t="shared" si="11"/>
        <v>5.79949670878473</v>
      </c>
      <c r="AG18" s="23">
        <f t="shared" si="11"/>
        <v>0</v>
      </c>
    </row>
    <row r="19" spans="2:33" x14ac:dyDescent="0.25">
      <c r="B19" s="6" t="s">
        <v>294</v>
      </c>
      <c r="C19" s="6" t="s">
        <v>268</v>
      </c>
      <c r="D19" s="6">
        <v>2968</v>
      </c>
      <c r="F19" s="6"/>
      <c r="G19" s="6">
        <f>SUM(G16:G18)</f>
        <v>11.145263157894737</v>
      </c>
      <c r="H19" s="10"/>
      <c r="R19" s="18"/>
      <c r="S19" s="18"/>
      <c r="T19" s="18"/>
      <c r="U19" s="18"/>
      <c r="AD19" s="18"/>
      <c r="AE19" s="18"/>
    </row>
    <row r="20" spans="2:33" x14ac:dyDescent="0.25">
      <c r="B20" s="6" t="s">
        <v>297</v>
      </c>
      <c r="C20" s="6" t="s">
        <v>268</v>
      </c>
      <c r="D20" s="6">
        <v>288.67</v>
      </c>
      <c r="F20" s="6"/>
      <c r="G20" s="6"/>
      <c r="H20" s="10"/>
      <c r="N20" s="22"/>
      <c r="R20" s="18"/>
      <c r="S20" s="18"/>
      <c r="T20" s="18"/>
      <c r="U20" s="18"/>
      <c r="Y20" s="22"/>
      <c r="AD20" s="18"/>
      <c r="AE20" s="18"/>
    </row>
    <row r="21" spans="2:33" x14ac:dyDescent="0.25">
      <c r="B21" s="6" t="s">
        <v>296</v>
      </c>
      <c r="C21" s="6" t="s">
        <v>268</v>
      </c>
      <c r="D21" s="6">
        <v>229</v>
      </c>
      <c r="F21" s="6"/>
      <c r="G21" s="6"/>
      <c r="H21" s="10"/>
      <c r="N21" s="22"/>
      <c r="R21" s="18"/>
      <c r="S21" s="18"/>
      <c r="T21" s="18"/>
      <c r="U21" s="18"/>
      <c r="Y21" s="22"/>
      <c r="AD21" s="18"/>
      <c r="AE21" s="18"/>
    </row>
    <row r="22" spans="2:33" x14ac:dyDescent="0.25">
      <c r="B22" s="6" t="s">
        <v>298</v>
      </c>
      <c r="C22" s="6" t="s">
        <v>299</v>
      </c>
      <c r="D22" s="6">
        <v>387</v>
      </c>
      <c r="F22" s="6"/>
      <c r="G22" s="6"/>
      <c r="H22" s="6"/>
      <c r="L22" s="7" t="s">
        <v>319</v>
      </c>
      <c r="M22" s="7" t="s">
        <v>114</v>
      </c>
      <c r="N22" s="24">
        <f>Q18+S18</f>
        <v>8.6423124218062615</v>
      </c>
      <c r="R22" s="18"/>
      <c r="S22" s="27"/>
      <c r="T22" s="18"/>
      <c r="U22" s="18"/>
      <c r="W22" s="7" t="s">
        <v>319</v>
      </c>
      <c r="X22" s="7" t="s">
        <v>114</v>
      </c>
      <c r="Y22" s="24">
        <f>AF18</f>
        <v>5.79949670878473</v>
      </c>
      <c r="AD22" s="18"/>
      <c r="AE22" s="27"/>
    </row>
    <row r="23" spans="2:33" x14ac:dyDescent="0.25">
      <c r="B23" s="6" t="s">
        <v>300</v>
      </c>
      <c r="C23" s="6" t="s">
        <v>268</v>
      </c>
      <c r="D23" s="6">
        <v>34.24</v>
      </c>
      <c r="F23" s="6">
        <v>7</v>
      </c>
      <c r="G23" s="6"/>
      <c r="H23" s="38">
        <f>$G$11-(7-F23)*$H$16</f>
        <v>5.09</v>
      </c>
      <c r="L23" s="6" t="s">
        <v>333</v>
      </c>
      <c r="M23" s="6" t="s">
        <v>114</v>
      </c>
      <c r="N23" s="24">
        <f>R18</f>
        <v>1.5164999999999997</v>
      </c>
      <c r="R23" s="18"/>
      <c r="S23" s="18"/>
      <c r="T23" s="18"/>
      <c r="U23" s="18"/>
      <c r="W23" s="6" t="s">
        <v>333</v>
      </c>
      <c r="X23" s="6" t="s">
        <v>114</v>
      </c>
      <c r="Y23" s="24">
        <f>AG18</f>
        <v>0</v>
      </c>
      <c r="AD23" s="18"/>
      <c r="AE23" s="18"/>
      <c r="AF23" s="22">
        <v>0.393385270605844</v>
      </c>
    </row>
    <row r="24" spans="2:33" x14ac:dyDescent="0.25">
      <c r="B24" s="6" t="s">
        <v>301</v>
      </c>
      <c r="C24" s="6" t="s">
        <v>268</v>
      </c>
      <c r="D24" s="6">
        <v>137.37</v>
      </c>
      <c r="F24" s="6">
        <v>6</v>
      </c>
      <c r="G24" s="6"/>
      <c r="H24" s="38">
        <f t="shared" ref="H24:H35" si="12">$G$11-(7-F24)*$H$16</f>
        <v>4.9073684210526309</v>
      </c>
      <c r="L24" s="7" t="s">
        <v>320</v>
      </c>
      <c r="M24" s="7" t="s">
        <v>311</v>
      </c>
      <c r="N24" s="24">
        <f>(N23*D20+N22*D21)/1000</f>
        <v>2.4168575995936341</v>
      </c>
      <c r="R24" s="18"/>
      <c r="S24" s="18"/>
      <c r="T24" s="18"/>
      <c r="U24" s="18"/>
      <c r="W24" s="7" t="s">
        <v>320</v>
      </c>
      <c r="X24" s="7" t="s">
        <v>311</v>
      </c>
      <c r="Y24" s="24">
        <f>(Y23*D20+Y22*D21)/1000</f>
        <v>1.3280847463117031</v>
      </c>
      <c r="AD24" s="18"/>
      <c r="AE24" s="18"/>
    </row>
    <row r="25" spans="2:33" x14ac:dyDescent="0.25">
      <c r="B25" s="6" t="s">
        <v>302</v>
      </c>
      <c r="C25" s="6" t="s">
        <v>299</v>
      </c>
      <c r="D25" s="31">
        <v>5.08</v>
      </c>
      <c r="F25" s="6">
        <v>5</v>
      </c>
      <c r="G25" s="6"/>
      <c r="H25" s="38">
        <f t="shared" si="12"/>
        <v>4.7247368421052629</v>
      </c>
      <c r="L25" s="7" t="s">
        <v>321</v>
      </c>
      <c r="M25" s="7" t="s">
        <v>311</v>
      </c>
      <c r="N25" s="24">
        <f>(12*(D22+D25+D26))/1000</f>
        <v>9.0039599999999993</v>
      </c>
      <c r="R25" s="18"/>
      <c r="S25" s="18"/>
      <c r="T25" s="18"/>
      <c r="U25" s="18"/>
      <c r="W25" s="7" t="s">
        <v>321</v>
      </c>
      <c r="X25" s="7" t="s">
        <v>311</v>
      </c>
      <c r="Y25" s="24">
        <f>(12*(D22+D25+D26))/1000</f>
        <v>9.0039599999999993</v>
      </c>
      <c r="AD25" s="18"/>
      <c r="AE25" s="18"/>
    </row>
    <row r="26" spans="2:33" x14ac:dyDescent="0.25">
      <c r="B26" s="6" t="s">
        <v>304</v>
      </c>
      <c r="C26" s="6" t="s">
        <v>299</v>
      </c>
      <c r="D26" s="31">
        <f>14.33*25</f>
        <v>358.25</v>
      </c>
      <c r="F26" s="6">
        <v>4</v>
      </c>
      <c r="G26" s="6"/>
      <c r="H26" s="38">
        <f t="shared" si="12"/>
        <v>4.542105263157894</v>
      </c>
      <c r="L26" s="7" t="s">
        <v>322</v>
      </c>
      <c r="M26" s="7" t="s">
        <v>311</v>
      </c>
      <c r="N26" s="24">
        <f>((D23+D24+D27)*(N22+N23))/1000</f>
        <v>7.8183236279463166</v>
      </c>
      <c r="R26" s="18"/>
      <c r="S26" s="18"/>
      <c r="T26" s="18"/>
      <c r="U26" s="18"/>
      <c r="W26" s="7" t="s">
        <v>322</v>
      </c>
      <c r="X26" s="7" t="s">
        <v>311</v>
      </c>
      <c r="Y26" s="24">
        <f>((D23+D24+D27)*(Y22+Y23))/1000</f>
        <v>4.4633506620478167</v>
      </c>
      <c r="AD26" s="18"/>
      <c r="AE26" s="18"/>
    </row>
    <row r="27" spans="2:33" x14ac:dyDescent="0.25">
      <c r="B27" s="6" t="s">
        <v>303</v>
      </c>
      <c r="C27" s="6" t="s">
        <v>268</v>
      </c>
      <c r="D27" s="31">
        <v>598</v>
      </c>
      <c r="F27" s="6">
        <v>3</v>
      </c>
      <c r="G27" s="6"/>
      <c r="H27" s="38">
        <f t="shared" si="12"/>
        <v>4.3594736842105259</v>
      </c>
      <c r="L27" s="7" t="s">
        <v>324</v>
      </c>
      <c r="M27" s="7" t="s">
        <v>268</v>
      </c>
      <c r="N27" s="6">
        <f>D18</f>
        <v>3900</v>
      </c>
      <c r="R27" s="18"/>
      <c r="S27" s="18"/>
      <c r="T27" s="18"/>
      <c r="U27" s="18"/>
      <c r="W27" s="7" t="s">
        <v>324</v>
      </c>
      <c r="X27" s="7" t="s">
        <v>268</v>
      </c>
      <c r="Y27" s="6">
        <f>D18</f>
        <v>3900</v>
      </c>
      <c r="AD27" s="18"/>
      <c r="AE27" s="18"/>
    </row>
    <row r="28" spans="2:33" x14ac:dyDescent="0.25">
      <c r="B28" s="18"/>
      <c r="C28" s="18"/>
      <c r="F28" s="6">
        <v>2</v>
      </c>
      <c r="G28" s="6"/>
      <c r="H28" s="38">
        <f t="shared" si="12"/>
        <v>4.176842105263157</v>
      </c>
      <c r="L28" s="7" t="s">
        <v>323</v>
      </c>
      <c r="M28" s="7" t="s">
        <v>268</v>
      </c>
      <c r="N28" s="6">
        <f>D19</f>
        <v>2968</v>
      </c>
      <c r="R28" s="18"/>
      <c r="S28" s="18"/>
      <c r="T28" s="18"/>
      <c r="U28" s="18"/>
      <c r="W28" s="7" t="s">
        <v>323</v>
      </c>
      <c r="X28" s="7" t="s">
        <v>268</v>
      </c>
      <c r="Y28" s="6">
        <f>D19</f>
        <v>2968</v>
      </c>
      <c r="AD28" s="18"/>
      <c r="AE28" s="18"/>
    </row>
    <row r="29" spans="2:33" x14ac:dyDescent="0.25">
      <c r="B29" s="18"/>
      <c r="C29" s="18"/>
      <c r="F29" s="6">
        <v>1</v>
      </c>
      <c r="G29" s="6"/>
      <c r="H29" s="38">
        <f t="shared" si="12"/>
        <v>3.994210526315789</v>
      </c>
      <c r="L29" s="7" t="s">
        <v>253</v>
      </c>
      <c r="M29" s="7" t="s">
        <v>311</v>
      </c>
      <c r="N29" s="32">
        <f>((N27*N23)/1000)+((N28*N22)/1000)+N24+N25+N26</f>
        <v>50.803874495460931</v>
      </c>
      <c r="R29" s="18"/>
      <c r="S29" s="18"/>
      <c r="T29" s="18"/>
      <c r="U29" s="18"/>
      <c r="W29" s="7" t="s">
        <v>253</v>
      </c>
      <c r="X29" s="7" t="s">
        <v>311</v>
      </c>
      <c r="Y29" s="32">
        <f>((Y27*Y23)/1000)+((Y28*Y22)/1000)+Y24+Y25+Y26</f>
        <v>32.008301640032599</v>
      </c>
      <c r="AD29" s="18"/>
      <c r="AE29" s="18"/>
    </row>
    <row r="30" spans="2:33" x14ac:dyDescent="0.25">
      <c r="F30" s="6">
        <v>0</v>
      </c>
      <c r="G30" s="6"/>
      <c r="H30" s="38">
        <f t="shared" si="12"/>
        <v>3.8115789473684201</v>
      </c>
      <c r="L30" s="7" t="s">
        <v>272</v>
      </c>
      <c r="M30" s="7" t="s">
        <v>311</v>
      </c>
      <c r="N30" s="32">
        <f>N29</f>
        <v>50.803874495460931</v>
      </c>
      <c r="R30" s="18"/>
      <c r="S30" s="18"/>
      <c r="T30" s="18"/>
      <c r="U30" s="18"/>
      <c r="W30" s="7" t="s">
        <v>272</v>
      </c>
      <c r="X30" s="7" t="s">
        <v>311</v>
      </c>
      <c r="Y30" s="32">
        <f>Y29</f>
        <v>32.008301640032599</v>
      </c>
      <c r="AD30" s="18"/>
      <c r="AE30" s="18"/>
    </row>
    <row r="31" spans="2:33" x14ac:dyDescent="0.25">
      <c r="F31" s="6">
        <v>-1</v>
      </c>
      <c r="G31" s="6"/>
      <c r="H31" s="38">
        <f t="shared" si="12"/>
        <v>3.628947368421052</v>
      </c>
      <c r="L31" s="6"/>
      <c r="M31" s="6"/>
      <c r="N31" s="24"/>
      <c r="R31" s="18"/>
      <c r="S31" s="18"/>
      <c r="T31" s="18"/>
      <c r="U31" s="18"/>
      <c r="W31" s="6"/>
      <c r="X31" s="6"/>
      <c r="Y31" s="24"/>
      <c r="AD31" s="18"/>
      <c r="AE31" s="18"/>
    </row>
    <row r="32" spans="2:33" x14ac:dyDescent="0.25">
      <c r="F32" s="6">
        <v>-2</v>
      </c>
      <c r="G32" s="6"/>
      <c r="H32" s="38">
        <f t="shared" si="12"/>
        <v>3.4463157894736831</v>
      </c>
      <c r="L32" s="6"/>
      <c r="M32" s="6"/>
      <c r="N32" s="24"/>
      <c r="R32" s="18"/>
      <c r="S32" s="18"/>
      <c r="T32" s="18"/>
      <c r="U32" s="18"/>
      <c r="W32" s="6"/>
      <c r="X32" s="6"/>
      <c r="Y32" s="24"/>
      <c r="AD32" s="18"/>
      <c r="AE32" s="18"/>
    </row>
    <row r="33" spans="6:31" x14ac:dyDescent="0.25">
      <c r="F33" s="6">
        <v>-3</v>
      </c>
      <c r="G33" s="6"/>
      <c r="H33" s="38">
        <f t="shared" si="12"/>
        <v>3.2636842105263151</v>
      </c>
      <c r="L33" s="6"/>
      <c r="M33" s="6"/>
      <c r="N33" s="24"/>
      <c r="R33" s="18"/>
      <c r="S33" s="18"/>
      <c r="T33" s="18"/>
      <c r="U33" s="18"/>
      <c r="W33" s="6"/>
      <c r="X33" s="6"/>
      <c r="Y33" s="24"/>
      <c r="AD33" s="18"/>
      <c r="AE33" s="18"/>
    </row>
    <row r="34" spans="6:31" x14ac:dyDescent="0.25">
      <c r="F34" s="6">
        <v>-4</v>
      </c>
      <c r="G34" s="6"/>
      <c r="H34" s="38">
        <f t="shared" si="12"/>
        <v>3.0810526315789462</v>
      </c>
      <c r="L34" s="6"/>
      <c r="M34" s="6"/>
      <c r="N34" s="24"/>
      <c r="R34" s="18"/>
      <c r="S34" s="18"/>
      <c r="T34" s="18"/>
      <c r="U34" s="18"/>
      <c r="W34" s="6"/>
      <c r="X34" s="6"/>
      <c r="Y34" s="24"/>
      <c r="AD34" s="18"/>
      <c r="AE34" s="18"/>
    </row>
    <row r="35" spans="6:31" x14ac:dyDescent="0.25">
      <c r="F35" s="6">
        <v>-5</v>
      </c>
      <c r="G35" s="6"/>
      <c r="H35" s="38">
        <f t="shared" si="12"/>
        <v>2.8984210526315777</v>
      </c>
      <c r="R35" s="18"/>
      <c r="S35" s="18"/>
      <c r="T35" s="18"/>
      <c r="U35" s="18"/>
      <c r="AD35" s="18"/>
      <c r="AE35" s="18"/>
    </row>
    <row r="36" spans="6:31" x14ac:dyDescent="0.25">
      <c r="F36" s="28"/>
      <c r="G36" s="28"/>
      <c r="H36" s="28"/>
      <c r="I36" s="28"/>
      <c r="J36" s="28"/>
      <c r="R36" s="18"/>
      <c r="S36" s="18"/>
      <c r="T36" s="18"/>
      <c r="U36" s="18"/>
      <c r="AD36" s="18"/>
      <c r="AE36" s="18"/>
    </row>
    <row r="37" spans="6:31" x14ac:dyDescent="0.25">
      <c r="F37" s="28"/>
      <c r="G37" s="28"/>
      <c r="H37" s="28"/>
      <c r="R37" s="18"/>
      <c r="S37" s="18"/>
      <c r="T37" s="18"/>
      <c r="U37" s="18"/>
      <c r="V37" s="6">
        <v>0</v>
      </c>
      <c r="W37" s="6">
        <v>122</v>
      </c>
      <c r="X37" s="6">
        <v>0.02</v>
      </c>
      <c r="Y37" s="6">
        <f>W37/((1+X37)^(-V37))</f>
        <v>122</v>
      </c>
      <c r="AD37" s="18"/>
      <c r="AE37" s="18"/>
    </row>
    <row r="38" spans="6:31" x14ac:dyDescent="0.25">
      <c r="H38" s="4"/>
      <c r="R38" s="16"/>
      <c r="S38" s="16"/>
      <c r="T38" s="18"/>
      <c r="U38" s="18"/>
      <c r="V38" s="6">
        <v>1</v>
      </c>
      <c r="W38" s="24">
        <f>$Y$30</f>
        <v>32.008301640032599</v>
      </c>
      <c r="X38" s="6">
        <v>0.02</v>
      </c>
      <c r="Y38" s="6">
        <f>W38/((1.02)^(V38))</f>
        <v>31.380687882384901</v>
      </c>
      <c r="AD38" s="16"/>
      <c r="AE38" s="16"/>
    </row>
    <row r="39" spans="6:31" x14ac:dyDescent="0.25">
      <c r="H39" s="4"/>
      <c r="R39" s="18"/>
      <c r="S39" s="18"/>
      <c r="T39" s="18"/>
      <c r="U39" s="18"/>
      <c r="V39" s="6">
        <v>2</v>
      </c>
      <c r="W39" s="24">
        <f t="shared" ref="W39:W57" si="13">$Y$30</f>
        <v>32.008301640032599</v>
      </c>
      <c r="X39" s="6">
        <v>0.02</v>
      </c>
      <c r="Y39" s="6">
        <f t="shared" ref="Y39:Y57" si="14">W39/((1.02)^(V39))</f>
        <v>30.765380276847942</v>
      </c>
      <c r="AD39" s="18"/>
      <c r="AE39" s="18"/>
    </row>
    <row r="40" spans="6:31" x14ac:dyDescent="0.25">
      <c r="H40" s="4"/>
      <c r="R40" s="18"/>
      <c r="S40" s="18"/>
      <c r="T40" s="18"/>
      <c r="U40" s="18"/>
      <c r="V40" s="6">
        <v>3</v>
      </c>
      <c r="W40" s="24">
        <f t="shared" si="13"/>
        <v>32.008301640032599</v>
      </c>
      <c r="X40" s="6">
        <v>0.02</v>
      </c>
      <c r="Y40" s="6">
        <f t="shared" si="14"/>
        <v>30.162137526321512</v>
      </c>
      <c r="AD40" s="18"/>
      <c r="AE40" s="18"/>
    </row>
    <row r="41" spans="6:31" x14ac:dyDescent="0.25">
      <c r="H41" s="4"/>
      <c r="R41" s="18"/>
      <c r="S41" s="18"/>
      <c r="T41" s="18"/>
      <c r="U41" s="18"/>
      <c r="V41" s="6">
        <v>4</v>
      </c>
      <c r="W41" s="24">
        <f t="shared" si="13"/>
        <v>32.008301640032599</v>
      </c>
      <c r="X41" s="6">
        <v>0.02</v>
      </c>
      <c r="Y41" s="6">
        <f t="shared" si="14"/>
        <v>29.570723065021092</v>
      </c>
      <c r="AD41" s="18"/>
      <c r="AE41" s="18"/>
    </row>
    <row r="42" spans="6:31" x14ac:dyDescent="0.25">
      <c r="R42" s="18"/>
      <c r="S42" s="18"/>
      <c r="T42" s="18"/>
      <c r="U42" s="18"/>
      <c r="V42" s="6">
        <v>5</v>
      </c>
      <c r="W42" s="24">
        <f t="shared" si="13"/>
        <v>32.008301640032599</v>
      </c>
      <c r="X42" s="6">
        <v>0.02</v>
      </c>
      <c r="Y42" s="6">
        <f t="shared" si="14"/>
        <v>28.99090496570695</v>
      </c>
      <c r="AD42" s="18"/>
      <c r="AE42" s="18"/>
    </row>
    <row r="43" spans="6:31" x14ac:dyDescent="0.25">
      <c r="R43" s="18"/>
      <c r="S43" s="18"/>
      <c r="T43" s="18"/>
      <c r="U43" s="18"/>
      <c r="V43" s="6">
        <v>6</v>
      </c>
      <c r="W43" s="24">
        <f t="shared" si="13"/>
        <v>32.008301640032599</v>
      </c>
      <c r="X43" s="6">
        <v>0.02</v>
      </c>
      <c r="Y43" s="6">
        <f t="shared" si="14"/>
        <v>28.422455848732302</v>
      </c>
      <c r="AD43" s="18"/>
      <c r="AE43" s="18"/>
    </row>
    <row r="44" spans="6:31" x14ac:dyDescent="0.25">
      <c r="H44" s="4"/>
      <c r="R44" s="18"/>
      <c r="S44" s="18"/>
      <c r="T44" s="18"/>
      <c r="U44" s="18"/>
      <c r="V44" s="6">
        <v>7</v>
      </c>
      <c r="W44" s="24">
        <f t="shared" si="13"/>
        <v>32.008301640032599</v>
      </c>
      <c r="X44" s="6">
        <v>0.02</v>
      </c>
      <c r="Y44" s="6">
        <f t="shared" si="14"/>
        <v>27.865152792874813</v>
      </c>
      <c r="AD44" s="18"/>
      <c r="AE44" s="18"/>
    </row>
    <row r="45" spans="6:31" x14ac:dyDescent="0.25">
      <c r="R45" s="18"/>
      <c r="S45" s="18"/>
      <c r="T45" s="18"/>
      <c r="U45" s="18"/>
      <c r="V45" s="6">
        <v>8</v>
      </c>
      <c r="W45" s="24">
        <f t="shared" si="13"/>
        <v>32.008301640032599</v>
      </c>
      <c r="X45" s="6">
        <v>0.02</v>
      </c>
      <c r="Y45" s="6">
        <f t="shared" si="14"/>
        <v>27.318777247916479</v>
      </c>
      <c r="AD45" s="18"/>
      <c r="AE45" s="18"/>
    </row>
    <row r="46" spans="6:31" x14ac:dyDescent="0.25">
      <c r="H46" s="4"/>
      <c r="R46" s="18"/>
      <c r="S46" s="18"/>
      <c r="T46" s="18"/>
      <c r="U46" s="18"/>
      <c r="V46" s="6">
        <v>9</v>
      </c>
      <c r="W46" s="24">
        <f t="shared" si="13"/>
        <v>32.008301640032599</v>
      </c>
      <c r="X46" s="6">
        <v>0.02</v>
      </c>
      <c r="Y46" s="6">
        <f t="shared" si="14"/>
        <v>26.783114948937726</v>
      </c>
      <c r="AD46" s="18"/>
      <c r="AE46" s="18"/>
    </row>
    <row r="47" spans="6:31" x14ac:dyDescent="0.25">
      <c r="R47" s="18"/>
      <c r="S47" s="18"/>
      <c r="T47" s="18"/>
      <c r="U47" s="18"/>
      <c r="V47" s="6">
        <v>10</v>
      </c>
      <c r="W47" s="24">
        <f t="shared" si="13"/>
        <v>32.008301640032599</v>
      </c>
      <c r="X47" s="6">
        <v>0.02</v>
      </c>
      <c r="Y47" s="6">
        <f t="shared" si="14"/>
        <v>26.257955832291888</v>
      </c>
      <c r="AD47" s="18"/>
      <c r="AE47" s="18"/>
    </row>
    <row r="48" spans="6:31" x14ac:dyDescent="0.25">
      <c r="R48" s="18"/>
      <c r="S48" s="18"/>
      <c r="T48" s="18"/>
      <c r="U48" s="18"/>
      <c r="V48" s="6">
        <v>11</v>
      </c>
      <c r="W48" s="24">
        <f t="shared" si="13"/>
        <v>32.008301640032599</v>
      </c>
      <c r="X48" s="6">
        <v>0.02</v>
      </c>
      <c r="Y48" s="6">
        <f t="shared" si="14"/>
        <v>25.743093953227344</v>
      </c>
      <c r="AD48" s="18"/>
      <c r="AE48" s="18"/>
    </row>
    <row r="49" spans="8:31" x14ac:dyDescent="0.25">
      <c r="R49" s="18"/>
      <c r="S49" s="18"/>
      <c r="T49" s="18"/>
      <c r="U49" s="18"/>
      <c r="V49" s="6">
        <v>12</v>
      </c>
      <c r="W49" s="24">
        <f t="shared" si="13"/>
        <v>32.008301640032599</v>
      </c>
      <c r="X49" s="6">
        <v>0.02</v>
      </c>
      <c r="Y49" s="6">
        <f t="shared" si="14"/>
        <v>25.238327405124846</v>
      </c>
      <c r="AD49" s="18"/>
      <c r="AE49" s="18"/>
    </row>
    <row r="50" spans="8:31" x14ac:dyDescent="0.25">
      <c r="R50" s="18"/>
      <c r="S50" s="18"/>
      <c r="T50" s="18"/>
      <c r="U50" s="18"/>
      <c r="V50" s="6">
        <v>13</v>
      </c>
      <c r="W50" s="24">
        <f t="shared" si="13"/>
        <v>32.008301640032599</v>
      </c>
      <c r="X50" s="6">
        <v>0.02</v>
      </c>
      <c r="Y50" s="6">
        <f t="shared" si="14"/>
        <v>24.743458240318475</v>
      </c>
      <c r="AD50" s="18"/>
      <c r="AE50" s="18"/>
    </row>
    <row r="51" spans="8:31" x14ac:dyDescent="0.25">
      <c r="K51" s="6">
        <v>0</v>
      </c>
      <c r="L51" s="6">
        <v>162</v>
      </c>
      <c r="M51" s="6">
        <v>0.02</v>
      </c>
      <c r="N51" s="6">
        <f>L51/((1+M51)^(-K51))</f>
        <v>162</v>
      </c>
      <c r="R51" s="18"/>
      <c r="S51" s="18"/>
      <c r="T51" s="18"/>
      <c r="U51" s="18"/>
      <c r="V51" s="6">
        <v>14</v>
      </c>
      <c r="W51" s="24">
        <f t="shared" si="13"/>
        <v>32.008301640032599</v>
      </c>
      <c r="X51" s="6">
        <v>0.02</v>
      </c>
      <c r="Y51" s="6">
        <f t="shared" si="14"/>
        <v>24.258292392469091</v>
      </c>
      <c r="AD51" s="18"/>
      <c r="AE51" s="18"/>
    </row>
    <row r="52" spans="8:31" x14ac:dyDescent="0.25">
      <c r="K52" s="6">
        <v>1</v>
      </c>
      <c r="L52" s="24">
        <f>$N$30</f>
        <v>50.803874495460931</v>
      </c>
      <c r="M52" s="6">
        <v>0.02</v>
      </c>
      <c r="N52" s="6">
        <f>L52/((1.02)^(K52))</f>
        <v>49.807720093589147</v>
      </c>
      <c r="R52" s="18"/>
      <c r="S52" s="18"/>
      <c r="T52" s="18"/>
      <c r="U52" s="18"/>
      <c r="V52" s="6">
        <v>15</v>
      </c>
      <c r="W52" s="24">
        <f t="shared" si="13"/>
        <v>32.008301640032599</v>
      </c>
      <c r="X52" s="6">
        <v>0.02</v>
      </c>
      <c r="Y52" s="6">
        <f t="shared" si="14"/>
        <v>23.782639600459902</v>
      </c>
      <c r="AD52" s="18"/>
      <c r="AE52" s="18"/>
    </row>
    <row r="53" spans="8:31" x14ac:dyDescent="0.25">
      <c r="H53" s="4"/>
      <c r="K53" s="6">
        <v>2</v>
      </c>
      <c r="L53" s="24">
        <f t="shared" ref="L53:L71" si="15">$N$30</f>
        <v>50.803874495460931</v>
      </c>
      <c r="M53" s="6">
        <v>0.02</v>
      </c>
      <c r="N53" s="6">
        <f t="shared" ref="N53:N71" si="16">L53/((1.02)^(K53))</f>
        <v>48.831098130969757</v>
      </c>
      <c r="R53" s="18"/>
      <c r="S53" s="18"/>
      <c r="T53" s="18"/>
      <c r="U53" s="18"/>
      <c r="V53" s="6">
        <v>16</v>
      </c>
      <c r="W53" s="24">
        <f t="shared" si="13"/>
        <v>32.008301640032599</v>
      </c>
      <c r="X53" s="6">
        <v>0.02</v>
      </c>
      <c r="Y53" s="6">
        <f t="shared" si="14"/>
        <v>23.316313333784212</v>
      </c>
      <c r="AD53" s="18"/>
      <c r="AE53" s="18"/>
    </row>
    <row r="54" spans="8:31" x14ac:dyDescent="0.25">
      <c r="K54" s="6">
        <v>3</v>
      </c>
      <c r="L54" s="24">
        <f t="shared" si="15"/>
        <v>50.803874495460931</v>
      </c>
      <c r="M54" s="6">
        <v>0.02</v>
      </c>
      <c r="N54" s="6">
        <f t="shared" si="16"/>
        <v>47.873625618597799</v>
      </c>
      <c r="R54" s="18"/>
      <c r="S54" s="18"/>
      <c r="T54" s="18"/>
      <c r="U54" s="18"/>
      <c r="V54" s="6">
        <v>17</v>
      </c>
      <c r="W54" s="24">
        <f t="shared" si="13"/>
        <v>32.008301640032599</v>
      </c>
      <c r="X54" s="6">
        <v>0.02</v>
      </c>
      <c r="Y54" s="6">
        <f t="shared" si="14"/>
        <v>22.859130719396283</v>
      </c>
      <c r="AD54" s="18"/>
      <c r="AE54" s="18"/>
    </row>
    <row r="55" spans="8:31" x14ac:dyDescent="0.25">
      <c r="K55" s="6">
        <v>4</v>
      </c>
      <c r="L55" s="24">
        <f t="shared" si="15"/>
        <v>50.803874495460931</v>
      </c>
      <c r="M55" s="6">
        <v>0.02</v>
      </c>
      <c r="N55" s="6">
        <f t="shared" si="16"/>
        <v>46.934927077056663</v>
      </c>
      <c r="R55" s="18"/>
      <c r="S55" s="18"/>
      <c r="T55" s="18"/>
      <c r="U55" s="18"/>
      <c r="V55" s="6">
        <v>18</v>
      </c>
      <c r="W55" s="24">
        <f t="shared" si="13"/>
        <v>32.008301640032599</v>
      </c>
      <c r="X55" s="6">
        <v>0.02</v>
      </c>
      <c r="Y55" s="6">
        <f t="shared" si="14"/>
        <v>22.410912469996362</v>
      </c>
      <c r="AD55" s="18"/>
      <c r="AE55" s="18"/>
    </row>
    <row r="56" spans="8:31" x14ac:dyDescent="0.25">
      <c r="K56" s="6">
        <v>5</v>
      </c>
      <c r="L56" s="24">
        <f t="shared" si="15"/>
        <v>50.803874495460931</v>
      </c>
      <c r="M56" s="6">
        <v>0.02</v>
      </c>
      <c r="N56" s="6">
        <f t="shared" si="16"/>
        <v>46.014634389271237</v>
      </c>
      <c r="R56" s="18"/>
      <c r="S56" s="18"/>
      <c r="T56" s="18"/>
      <c r="U56" s="18"/>
      <c r="V56" s="6">
        <v>19</v>
      </c>
      <c r="W56" s="24">
        <f t="shared" si="13"/>
        <v>32.008301640032599</v>
      </c>
      <c r="X56" s="6">
        <v>0.02</v>
      </c>
      <c r="Y56" s="6">
        <f t="shared" si="14"/>
        <v>21.971482813721924</v>
      </c>
      <c r="AD56" s="18"/>
      <c r="AE56" s="18"/>
    </row>
    <row r="57" spans="8:31" x14ac:dyDescent="0.25">
      <c r="K57" s="6">
        <v>6</v>
      </c>
      <c r="L57" s="24">
        <f t="shared" si="15"/>
        <v>50.803874495460931</v>
      </c>
      <c r="M57" s="6">
        <v>0.02</v>
      </c>
      <c r="N57" s="6">
        <f t="shared" si="16"/>
        <v>45.112386656148274</v>
      </c>
      <c r="R57" s="18"/>
      <c r="S57" s="18"/>
      <c r="T57" s="18"/>
      <c r="U57" s="18"/>
      <c r="V57" s="6">
        <v>20</v>
      </c>
      <c r="W57" s="24">
        <f t="shared" si="13"/>
        <v>32.008301640032599</v>
      </c>
      <c r="X57" s="6">
        <v>0.02</v>
      </c>
      <c r="Y57" s="6">
        <f t="shared" si="14"/>
        <v>21.540669425217569</v>
      </c>
      <c r="AD57" s="18"/>
      <c r="AE57" s="18"/>
    </row>
    <row r="58" spans="8:31" x14ac:dyDescent="0.25">
      <c r="K58" s="6">
        <v>7</v>
      </c>
      <c r="L58" s="24">
        <f t="shared" si="15"/>
        <v>50.803874495460931</v>
      </c>
      <c r="M58" s="6">
        <v>0.02</v>
      </c>
      <c r="N58" s="6">
        <f t="shared" si="16"/>
        <v>44.227830055047335</v>
      </c>
      <c r="R58" s="18"/>
      <c r="S58" s="18"/>
      <c r="T58" s="18"/>
      <c r="U58" s="18"/>
      <c r="V58" s="6" t="s">
        <v>269</v>
      </c>
      <c r="W58" s="35"/>
      <c r="X58" s="6"/>
      <c r="Y58" s="6">
        <f>-SUM(Y37:Y57)</f>
        <v>-645.38161074075163</v>
      </c>
      <c r="AD58" s="18"/>
      <c r="AE58" s="18"/>
    </row>
    <row r="59" spans="8:31" x14ac:dyDescent="0.25">
      <c r="K59" s="6">
        <v>8</v>
      </c>
      <c r="L59" s="24">
        <f t="shared" si="15"/>
        <v>50.803874495460931</v>
      </c>
      <c r="M59" s="6">
        <v>0.02</v>
      </c>
      <c r="N59" s="6">
        <f t="shared" si="16"/>
        <v>43.360617701026797</v>
      </c>
      <c r="R59" s="18"/>
      <c r="S59" s="18"/>
      <c r="T59" s="18"/>
      <c r="U59" s="18"/>
      <c r="V59" s="6" t="s">
        <v>270</v>
      </c>
      <c r="W59" s="6"/>
      <c r="X59" s="6"/>
      <c r="Y59" s="6">
        <f>Y58*(((1.02^20)*(1.02-1))/((1.02^20)-1))</f>
        <v>-39.469421251318074</v>
      </c>
      <c r="AD59" s="18"/>
      <c r="AE59" s="18"/>
    </row>
    <row r="60" spans="8:31" x14ac:dyDescent="0.25">
      <c r="K60" s="6">
        <v>9</v>
      </c>
      <c r="L60" s="24">
        <f t="shared" si="15"/>
        <v>50.803874495460931</v>
      </c>
      <c r="M60" s="6">
        <v>0.02</v>
      </c>
      <c r="N60" s="6">
        <f t="shared" si="16"/>
        <v>42.510409510810582</v>
      </c>
      <c r="R60" s="18"/>
      <c r="S60" s="18"/>
      <c r="T60" s="18"/>
      <c r="U60" s="18"/>
      <c r="W60" s="1"/>
      <c r="AD60" s="18"/>
      <c r="AE60" s="18"/>
    </row>
    <row r="61" spans="8:31" x14ac:dyDescent="0.25">
      <c r="K61" s="6">
        <v>10</v>
      </c>
      <c r="L61" s="24">
        <f t="shared" si="15"/>
        <v>50.803874495460931</v>
      </c>
      <c r="M61" s="6">
        <v>0.02</v>
      </c>
      <c r="N61" s="6">
        <f t="shared" si="16"/>
        <v>41.676872069422139</v>
      </c>
      <c r="R61" s="18"/>
      <c r="S61" s="18"/>
      <c r="T61" s="18"/>
      <c r="U61" s="18"/>
      <c r="W61" s="6" t="s">
        <v>276</v>
      </c>
      <c r="X61" s="6" t="s">
        <v>273</v>
      </c>
      <c r="Y61" s="6" t="s">
        <v>263</v>
      </c>
      <c r="AD61" s="18"/>
      <c r="AE61" s="18"/>
    </row>
    <row r="62" spans="8:31" x14ac:dyDescent="0.25">
      <c r="K62" s="6">
        <v>11</v>
      </c>
      <c r="L62" s="24">
        <f t="shared" si="15"/>
        <v>50.803874495460931</v>
      </c>
      <c r="M62" s="6">
        <v>0.02</v>
      </c>
      <c r="N62" s="6">
        <f t="shared" si="16"/>
        <v>40.859678499433478</v>
      </c>
      <c r="R62" s="18"/>
      <c r="S62" s="18"/>
      <c r="T62" s="18"/>
      <c r="U62" s="18"/>
      <c r="W62" s="6" t="s">
        <v>325</v>
      </c>
      <c r="X62" s="29">
        <v>-785</v>
      </c>
      <c r="Y62" s="29">
        <v>-645</v>
      </c>
      <c r="AD62" s="18"/>
      <c r="AE62" s="18"/>
    </row>
    <row r="63" spans="8:31" x14ac:dyDescent="0.25">
      <c r="K63" s="6">
        <v>12</v>
      </c>
      <c r="L63" s="24">
        <f t="shared" si="15"/>
        <v>50.803874495460931</v>
      </c>
      <c r="M63" s="6">
        <v>0.02</v>
      </c>
      <c r="N63" s="6">
        <f t="shared" si="16"/>
        <v>40.058508332777912</v>
      </c>
      <c r="R63" s="18"/>
      <c r="S63" s="18"/>
      <c r="T63" s="18"/>
      <c r="U63" s="18"/>
      <c r="W63" s="6" t="s">
        <v>334</v>
      </c>
      <c r="X63" s="29">
        <f>-48-21.2-21.8</f>
        <v>-91</v>
      </c>
      <c r="Y63" s="29">
        <f>-39-7.8-10.2</f>
        <v>-57</v>
      </c>
      <c r="AD63" s="18"/>
      <c r="AE63" s="18"/>
    </row>
    <row r="64" spans="8:31" x14ac:dyDescent="0.25">
      <c r="K64" s="6">
        <v>13</v>
      </c>
      <c r="L64" s="24">
        <f t="shared" si="15"/>
        <v>50.803874495460931</v>
      </c>
      <c r="M64" s="6">
        <v>0.02</v>
      </c>
      <c r="N64" s="6">
        <f t="shared" si="16"/>
        <v>39.273047385076389</v>
      </c>
      <c r="R64" s="18"/>
      <c r="S64" s="18"/>
      <c r="T64" s="18"/>
      <c r="U64" s="18"/>
      <c r="AD64" s="18"/>
      <c r="AE64" s="18"/>
    </row>
    <row r="65" spans="11:31" x14ac:dyDescent="0.25">
      <c r="K65" s="6">
        <v>14</v>
      </c>
      <c r="L65" s="24">
        <f t="shared" si="15"/>
        <v>50.803874495460931</v>
      </c>
      <c r="M65" s="6">
        <v>0.02</v>
      </c>
      <c r="N65" s="6">
        <f t="shared" si="16"/>
        <v>38.502987632427825</v>
      </c>
      <c r="R65" s="18"/>
      <c r="S65" s="18"/>
      <c r="T65" s="18"/>
      <c r="U65" s="18"/>
      <c r="AD65" s="18"/>
      <c r="AE65" s="18"/>
    </row>
    <row r="66" spans="11:31" x14ac:dyDescent="0.25">
      <c r="K66" s="6">
        <v>15</v>
      </c>
      <c r="L66" s="24">
        <f t="shared" si="15"/>
        <v>50.803874495460931</v>
      </c>
      <c r="M66" s="6">
        <v>0.02</v>
      </c>
      <c r="N66" s="6">
        <f t="shared" si="16"/>
        <v>37.748027090615523</v>
      </c>
      <c r="R66" s="18"/>
      <c r="S66" s="18"/>
      <c r="T66" s="18"/>
      <c r="U66" s="18"/>
      <c r="AD66" s="18"/>
      <c r="AE66" s="18"/>
    </row>
    <row r="67" spans="11:31" x14ac:dyDescent="0.25">
      <c r="K67" s="6">
        <v>16</v>
      </c>
      <c r="L67" s="24">
        <f t="shared" si="15"/>
        <v>50.803874495460931</v>
      </c>
      <c r="M67" s="6">
        <v>0.02</v>
      </c>
      <c r="N67" s="6">
        <f t="shared" si="16"/>
        <v>37.00786969668188</v>
      </c>
      <c r="R67" s="18"/>
      <c r="S67" s="18"/>
      <c r="T67" s="18"/>
      <c r="U67" s="18"/>
      <c r="AD67" s="18"/>
      <c r="AE67" s="18"/>
    </row>
    <row r="68" spans="11:31" x14ac:dyDescent="0.25">
      <c r="K68" s="6">
        <v>17</v>
      </c>
      <c r="L68" s="24">
        <f t="shared" si="15"/>
        <v>50.803874495460931</v>
      </c>
      <c r="M68" s="6">
        <v>0.02</v>
      </c>
      <c r="N68" s="6">
        <f t="shared" si="16"/>
        <v>36.282225192825372</v>
      </c>
      <c r="R68" s="18"/>
      <c r="S68" s="18"/>
      <c r="T68" s="18"/>
      <c r="U68" s="18"/>
      <c r="AD68" s="18"/>
      <c r="AE68" s="18"/>
    </row>
    <row r="69" spans="11:31" x14ac:dyDescent="0.25">
      <c r="K69" s="6">
        <v>18</v>
      </c>
      <c r="L69" s="24">
        <f t="shared" si="15"/>
        <v>50.803874495460931</v>
      </c>
      <c r="M69" s="6">
        <v>0.02</v>
      </c>
      <c r="N69" s="6">
        <f t="shared" si="16"/>
        <v>35.570809012573896</v>
      </c>
      <c r="R69" s="18"/>
      <c r="S69" s="18"/>
      <c r="T69" s="18"/>
      <c r="U69" s="18"/>
      <c r="AD69" s="18"/>
      <c r="AE69" s="18"/>
    </row>
    <row r="70" spans="11:31" x14ac:dyDescent="0.25">
      <c r="K70" s="6">
        <v>19</v>
      </c>
      <c r="L70" s="24">
        <f t="shared" si="15"/>
        <v>50.803874495460931</v>
      </c>
      <c r="M70" s="6">
        <v>0.02</v>
      </c>
      <c r="N70" s="6">
        <f t="shared" si="16"/>
        <v>34.873342169190096</v>
      </c>
      <c r="R70" s="34"/>
      <c r="S70" s="34"/>
      <c r="T70" s="18"/>
      <c r="U70" s="18"/>
      <c r="AD70" s="34"/>
      <c r="AE70" s="34"/>
    </row>
    <row r="71" spans="11:31" x14ac:dyDescent="0.25">
      <c r="K71" s="6">
        <v>20</v>
      </c>
      <c r="L71" s="24">
        <f t="shared" si="15"/>
        <v>50.803874495460931</v>
      </c>
      <c r="M71" s="6">
        <v>0.02</v>
      </c>
      <c r="N71" s="6">
        <f t="shared" si="16"/>
        <v>34.189551146264797</v>
      </c>
      <c r="R71" s="34"/>
      <c r="S71" s="34"/>
      <c r="T71" s="18"/>
      <c r="U71" s="18"/>
      <c r="AD71" s="34"/>
      <c r="AE71" s="34"/>
    </row>
    <row r="72" spans="11:31" x14ac:dyDescent="0.25">
      <c r="K72" s="6" t="s">
        <v>269</v>
      </c>
      <c r="L72" s="35"/>
      <c r="M72" s="6"/>
      <c r="N72" s="6">
        <f>-SUM(N51:N71)</f>
        <v>-992.71616745980702</v>
      </c>
      <c r="R72" s="18"/>
      <c r="S72" s="18"/>
      <c r="T72" s="18"/>
      <c r="U72" s="18"/>
      <c r="AD72" s="18"/>
      <c r="AE72" s="18"/>
    </row>
    <row r="73" spans="11:31" x14ac:dyDescent="0.25">
      <c r="K73" s="6" t="s">
        <v>270</v>
      </c>
      <c r="L73" s="6"/>
      <c r="M73" s="6"/>
      <c r="N73" s="6">
        <f>N72*(((1.02^20)*(1.02-1))/((1.02^20)-1))</f>
        <v>-60.711262831758049</v>
      </c>
      <c r="R73" s="18"/>
      <c r="S73" s="18"/>
      <c r="T73" s="18"/>
      <c r="U73" s="18"/>
      <c r="AD73" s="18"/>
      <c r="AE73" s="18"/>
    </row>
    <row r="74" spans="11:31" x14ac:dyDescent="0.25">
      <c r="L74" s="1"/>
      <c r="R74" s="18"/>
      <c r="S74" s="18"/>
      <c r="T74" s="18"/>
      <c r="U74" s="18"/>
      <c r="AD74" s="18"/>
      <c r="AE74" s="18"/>
    </row>
    <row r="75" spans="11:31" x14ac:dyDescent="0.25">
      <c r="L75" s="6" t="s">
        <v>276</v>
      </c>
      <c r="M75" s="6" t="s">
        <v>273</v>
      </c>
      <c r="N75" s="6" t="s">
        <v>263</v>
      </c>
      <c r="R75" s="18"/>
      <c r="S75" s="18"/>
      <c r="T75" s="18"/>
      <c r="U75" s="18"/>
      <c r="AD75" s="18"/>
      <c r="AE75" s="18"/>
    </row>
    <row r="76" spans="11:31" x14ac:dyDescent="0.25">
      <c r="L76" s="6" t="s">
        <v>325</v>
      </c>
      <c r="M76" s="29">
        <v>-1092</v>
      </c>
      <c r="N76" s="29">
        <v>-992</v>
      </c>
      <c r="R76" s="18"/>
      <c r="S76" s="18"/>
      <c r="T76" s="18"/>
      <c r="U76" s="18"/>
      <c r="AD76" s="18"/>
      <c r="AE76" s="18"/>
    </row>
    <row r="77" spans="11:31" x14ac:dyDescent="0.25">
      <c r="L77" s="6" t="s">
        <v>334</v>
      </c>
      <c r="M77" s="29">
        <f>-66-21.2</f>
        <v>-87.2</v>
      </c>
      <c r="N77" s="29">
        <f>-60-7.8</f>
        <v>-67.8</v>
      </c>
      <c r="R77" s="18"/>
      <c r="S77" s="18"/>
      <c r="T77" s="18"/>
      <c r="U77" s="18"/>
      <c r="AD77" s="18"/>
      <c r="AE77" s="18"/>
    </row>
    <row r="78" spans="11:31" x14ac:dyDescent="0.25"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</row>
    <row r="79" spans="11:31" x14ac:dyDescent="0.25"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</row>
    <row r="80" spans="11:31" x14ac:dyDescent="0.25"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</row>
    <row r="81" spans="11:30" x14ac:dyDescent="0.25"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</row>
  </sheetData>
  <mergeCells count="3">
    <mergeCell ref="B16:D16"/>
    <mergeCell ref="W3:AE3"/>
    <mergeCell ref="L3:S3"/>
  </mergeCells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7447F-84CC-4AC0-B01B-C60C4865E4FD}">
  <dimension ref="D3:H17"/>
  <sheetViews>
    <sheetView workbookViewId="0">
      <selection activeCell="H18" sqref="H18"/>
    </sheetView>
  </sheetViews>
  <sheetFormatPr defaultRowHeight="15.75" x14ac:dyDescent="0.25"/>
  <cols>
    <col min="4" max="4" width="18.75" bestFit="1" customWidth="1"/>
    <col min="5" max="5" width="17.25" bestFit="1" customWidth="1"/>
    <col min="6" max="6" width="14.75" bestFit="1" customWidth="1"/>
    <col min="7" max="7" width="17.25" bestFit="1" customWidth="1"/>
    <col min="8" max="8" width="14.75" bestFit="1" customWidth="1"/>
  </cols>
  <sheetData>
    <row r="3" spans="4:8" x14ac:dyDescent="0.25">
      <c r="D3" s="6" t="s">
        <v>276</v>
      </c>
      <c r="E3" s="40" t="s">
        <v>282</v>
      </c>
      <c r="F3" s="40"/>
      <c r="G3" s="40" t="s">
        <v>285</v>
      </c>
      <c r="H3" s="40"/>
    </row>
    <row r="4" spans="4:8" x14ac:dyDescent="0.25">
      <c r="D4" s="6"/>
      <c r="E4" s="6" t="s">
        <v>283</v>
      </c>
      <c r="F4" s="6" t="s">
        <v>284</v>
      </c>
      <c r="G4" s="6" t="s">
        <v>283</v>
      </c>
      <c r="H4" s="6" t="s">
        <v>284</v>
      </c>
    </row>
    <row r="5" spans="4:8" x14ac:dyDescent="0.25">
      <c r="D5" s="6" t="s">
        <v>277</v>
      </c>
      <c r="E5" s="6" t="s">
        <v>359</v>
      </c>
      <c r="F5" s="6" t="s">
        <v>359</v>
      </c>
      <c r="G5" s="6" t="s">
        <v>359</v>
      </c>
      <c r="H5" s="6" t="s">
        <v>359</v>
      </c>
    </row>
    <row r="6" spans="4:8" x14ac:dyDescent="0.25">
      <c r="D6" s="6" t="s">
        <v>278</v>
      </c>
      <c r="E6" s="29">
        <v>-123</v>
      </c>
      <c r="F6" s="29">
        <v>-117</v>
      </c>
      <c r="G6" s="29"/>
      <c r="H6" s="29"/>
    </row>
    <row r="7" spans="4:8" x14ac:dyDescent="0.25">
      <c r="D7" s="6" t="s">
        <v>279</v>
      </c>
      <c r="E7" s="29">
        <f>-97-21.8</f>
        <v>-118.8</v>
      </c>
      <c r="F7" s="29">
        <f>-91-10.2</f>
        <v>-101.2</v>
      </c>
      <c r="G7" s="29"/>
      <c r="H7" s="29"/>
    </row>
    <row r="8" spans="4:8" x14ac:dyDescent="0.25">
      <c r="D8" s="6" t="s">
        <v>280</v>
      </c>
      <c r="E8" s="29">
        <f>-87-21.2</f>
        <v>-108.2</v>
      </c>
      <c r="F8" s="29">
        <f>-81.7-21.2</f>
        <v>-102.9</v>
      </c>
      <c r="G8" s="29">
        <f>-66-21.2</f>
        <v>-87.2</v>
      </c>
      <c r="H8" s="29">
        <f>-60-7.8</f>
        <v>-67.8</v>
      </c>
    </row>
    <row r="9" spans="4:8" x14ac:dyDescent="0.25">
      <c r="D9" s="6" t="s">
        <v>281</v>
      </c>
      <c r="E9" s="29">
        <f>-61-21.2-21.8</f>
        <v>-104</v>
      </c>
      <c r="F9" s="29">
        <f>-55-7.8-10.2</f>
        <v>-73</v>
      </c>
      <c r="G9" s="29">
        <f>-48-21.2-21.8</f>
        <v>-91</v>
      </c>
      <c r="H9" s="29">
        <f>-39-7.8-10.2</f>
        <v>-57</v>
      </c>
    </row>
    <row r="13" spans="4:8" x14ac:dyDescent="0.25">
      <c r="D13" s="6"/>
      <c r="E13" s="6" t="s">
        <v>262</v>
      </c>
      <c r="F13" s="6" t="s">
        <v>263</v>
      </c>
    </row>
    <row r="14" spans="4:8" x14ac:dyDescent="0.25">
      <c r="D14" s="6" t="s">
        <v>285</v>
      </c>
      <c r="E14" s="6">
        <v>312234</v>
      </c>
      <c r="F14" s="6">
        <f>E14-140000</f>
        <v>172234</v>
      </c>
    </row>
    <row r="15" spans="4:8" x14ac:dyDescent="0.25">
      <c r="D15" s="6" t="s">
        <v>286</v>
      </c>
      <c r="E15" s="6">
        <v>425000</v>
      </c>
      <c r="F15" s="6">
        <v>200000</v>
      </c>
    </row>
    <row r="16" spans="4:8" x14ac:dyDescent="0.25">
      <c r="D16" s="6" t="s">
        <v>280</v>
      </c>
      <c r="E16" s="6">
        <v>475000</v>
      </c>
      <c r="F16" s="6">
        <v>175000</v>
      </c>
    </row>
    <row r="17" spans="4:6" x14ac:dyDescent="0.25">
      <c r="D17" s="6"/>
      <c r="E17" s="6">
        <f>SUM(E14:E16)</f>
        <v>1212234</v>
      </c>
      <c r="F17" s="6">
        <f>SUM(F14:F16)</f>
        <v>547234</v>
      </c>
    </row>
  </sheetData>
  <mergeCells count="2">
    <mergeCell ref="E3:F3"/>
    <mergeCell ref="G3:H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B49A7-04AC-491F-BE7B-1CB3CB5B67A7}">
  <dimension ref="C5:J16"/>
  <sheetViews>
    <sheetView workbookViewId="0">
      <selection activeCell="I23" sqref="I23"/>
    </sheetView>
  </sheetViews>
  <sheetFormatPr defaultRowHeight="15.75" x14ac:dyDescent="0.25"/>
  <cols>
    <col min="3" max="3" width="22.375" bestFit="1" customWidth="1"/>
    <col min="4" max="4" width="10.125" bestFit="1" customWidth="1"/>
    <col min="8" max="8" width="22.375" bestFit="1" customWidth="1"/>
    <col min="9" max="9" width="10.125" bestFit="1" customWidth="1"/>
    <col min="10" max="10" width="8.625" bestFit="1" customWidth="1"/>
  </cols>
  <sheetData>
    <row r="5" spans="3:10" x14ac:dyDescent="0.25">
      <c r="C5" s="40" t="s">
        <v>306</v>
      </c>
      <c r="D5" s="40"/>
      <c r="E5" s="40"/>
      <c r="H5" s="40" t="s">
        <v>307</v>
      </c>
      <c r="I5" s="40"/>
      <c r="J5" s="40"/>
    </row>
    <row r="6" spans="3:10" x14ac:dyDescent="0.25">
      <c r="C6" s="6" t="s">
        <v>305</v>
      </c>
      <c r="D6" s="6" t="s">
        <v>170</v>
      </c>
      <c r="E6" s="6" t="s">
        <v>160</v>
      </c>
      <c r="H6" s="6" t="s">
        <v>305</v>
      </c>
      <c r="I6" s="6" t="s">
        <v>170</v>
      </c>
      <c r="J6" s="6" t="s">
        <v>160</v>
      </c>
    </row>
    <row r="7" spans="3:10" x14ac:dyDescent="0.25">
      <c r="C7" s="6" t="s">
        <v>295</v>
      </c>
      <c r="D7" s="6" t="s">
        <v>268</v>
      </c>
      <c r="E7" s="6">
        <v>3797</v>
      </c>
      <c r="H7" s="6" t="s">
        <v>295</v>
      </c>
      <c r="I7" s="6" t="s">
        <v>268</v>
      </c>
      <c r="J7" s="6">
        <v>3900</v>
      </c>
    </row>
    <row r="8" spans="3:10" x14ac:dyDescent="0.25">
      <c r="C8" s="6" t="s">
        <v>294</v>
      </c>
      <c r="D8" s="6" t="s">
        <v>268</v>
      </c>
      <c r="E8" s="6">
        <v>2202</v>
      </c>
      <c r="H8" s="6" t="s">
        <v>294</v>
      </c>
      <c r="I8" s="6" t="s">
        <v>268</v>
      </c>
      <c r="J8" s="6">
        <v>2968</v>
      </c>
    </row>
    <row r="9" spans="3:10" x14ac:dyDescent="0.25">
      <c r="C9" s="6" t="s">
        <v>297</v>
      </c>
      <c r="D9" s="6" t="s">
        <v>268</v>
      </c>
      <c r="E9" s="6">
        <v>2165</v>
      </c>
      <c r="H9" s="6" t="s">
        <v>297</v>
      </c>
      <c r="I9" s="6" t="s">
        <v>268</v>
      </c>
      <c r="J9" s="6">
        <v>288.67</v>
      </c>
    </row>
    <row r="10" spans="3:10" x14ac:dyDescent="0.25">
      <c r="C10" s="6" t="s">
        <v>296</v>
      </c>
      <c r="D10" s="6" t="s">
        <v>268</v>
      </c>
      <c r="E10" s="6">
        <v>229</v>
      </c>
      <c r="H10" s="6" t="s">
        <v>296</v>
      </c>
      <c r="I10" s="6" t="s">
        <v>268</v>
      </c>
      <c r="J10" s="6">
        <v>229</v>
      </c>
    </row>
    <row r="11" spans="3:10" x14ac:dyDescent="0.25">
      <c r="C11" s="6" t="s">
        <v>298</v>
      </c>
      <c r="D11" s="6" t="s">
        <v>299</v>
      </c>
      <c r="E11" s="6">
        <v>184</v>
      </c>
      <c r="H11" s="6" t="s">
        <v>298</v>
      </c>
      <c r="I11" s="6" t="s">
        <v>299</v>
      </c>
      <c r="J11" s="6">
        <v>387</v>
      </c>
    </row>
    <row r="12" spans="3:10" x14ac:dyDescent="0.25">
      <c r="C12" s="6" t="s">
        <v>300</v>
      </c>
      <c r="D12" s="6" t="s">
        <v>268</v>
      </c>
      <c r="E12" s="6">
        <v>34.24</v>
      </c>
      <c r="H12" s="6" t="s">
        <v>300</v>
      </c>
      <c r="I12" s="6" t="s">
        <v>268</v>
      </c>
      <c r="J12" s="6">
        <v>34.24</v>
      </c>
    </row>
    <row r="13" spans="3:10" x14ac:dyDescent="0.25">
      <c r="C13" s="6" t="s">
        <v>301</v>
      </c>
      <c r="D13" s="6" t="s">
        <v>268</v>
      </c>
      <c r="E13" s="6">
        <v>137.37</v>
      </c>
      <c r="H13" s="6" t="s">
        <v>301</v>
      </c>
      <c r="I13" s="6" t="s">
        <v>268</v>
      </c>
      <c r="J13" s="6">
        <v>137.37</v>
      </c>
    </row>
    <row r="14" spans="3:10" x14ac:dyDescent="0.25">
      <c r="C14" s="6" t="s">
        <v>302</v>
      </c>
      <c r="D14" s="6" t="s">
        <v>299</v>
      </c>
      <c r="E14" s="31">
        <v>5.08</v>
      </c>
      <c r="H14" s="6" t="s">
        <v>302</v>
      </c>
      <c r="I14" s="6" t="s">
        <v>299</v>
      </c>
      <c r="J14" s="31">
        <v>5.08</v>
      </c>
    </row>
    <row r="15" spans="3:10" x14ac:dyDescent="0.25">
      <c r="C15" s="6" t="s">
        <v>304</v>
      </c>
      <c r="D15" s="6" t="s">
        <v>299</v>
      </c>
      <c r="E15" s="31">
        <f>14.33*25</f>
        <v>358.25</v>
      </c>
      <c r="H15" s="6" t="s">
        <v>304</v>
      </c>
      <c r="I15" s="6" t="s">
        <v>299</v>
      </c>
      <c r="J15" s="31">
        <f>14.33*25</f>
        <v>358.25</v>
      </c>
    </row>
    <row r="16" spans="3:10" x14ac:dyDescent="0.25">
      <c r="C16" s="6" t="s">
        <v>303</v>
      </c>
      <c r="D16" s="6" t="s">
        <v>268</v>
      </c>
      <c r="E16" s="31">
        <v>598</v>
      </c>
      <c r="H16" s="6" t="s">
        <v>303</v>
      </c>
      <c r="I16" s="6" t="s">
        <v>268</v>
      </c>
      <c r="J16" s="31">
        <v>598</v>
      </c>
    </row>
  </sheetData>
  <mergeCells count="2">
    <mergeCell ref="C5:E5"/>
    <mergeCell ref="H5:J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93B6B-47CC-46A5-9CE2-720FC1CE356B}">
  <dimension ref="B2:BA90"/>
  <sheetViews>
    <sheetView zoomScale="25" zoomScaleNormal="25" workbookViewId="0">
      <selection activeCell="P65" sqref="P65"/>
    </sheetView>
  </sheetViews>
  <sheetFormatPr defaultRowHeight="15.75" x14ac:dyDescent="0.25"/>
  <cols>
    <col min="2" max="2" width="15.75" bestFit="1" customWidth="1"/>
    <col min="7" max="9" width="11.625" customWidth="1"/>
    <col min="34" max="34" width="12.375" bestFit="1" customWidth="1"/>
    <col min="40" max="40" width="11.125" bestFit="1" customWidth="1"/>
    <col min="52" max="52" width="12.875" bestFit="1" customWidth="1"/>
  </cols>
  <sheetData>
    <row r="2" spans="2:34" x14ac:dyDescent="0.25">
      <c r="B2" s="6" t="s">
        <v>168</v>
      </c>
      <c r="C2" s="6" t="s">
        <v>170</v>
      </c>
      <c r="D2" s="6" t="s">
        <v>169</v>
      </c>
    </row>
    <row r="3" spans="2:34" x14ac:dyDescent="0.25">
      <c r="B3" s="6" t="s">
        <v>184</v>
      </c>
      <c r="C3" s="6" t="s">
        <v>186</v>
      </c>
      <c r="D3" s="10" t="s">
        <v>185</v>
      </c>
    </row>
    <row r="4" spans="2:34" x14ac:dyDescent="0.25">
      <c r="B4" s="6" t="s">
        <v>173</v>
      </c>
      <c r="C4" s="6" t="s">
        <v>174</v>
      </c>
      <c r="D4" s="10" t="s">
        <v>187</v>
      </c>
      <c r="G4" s="40" t="s">
        <v>204</v>
      </c>
      <c r="H4" s="40"/>
      <c r="I4" s="40"/>
      <c r="X4" s="40" t="s">
        <v>233</v>
      </c>
      <c r="Y4" s="40"/>
      <c r="Z4" s="40"/>
      <c r="AB4" s="40" t="s">
        <v>236</v>
      </c>
      <c r="AC4" s="40"/>
      <c r="AD4" s="40"/>
      <c r="AF4" s="40" t="s">
        <v>292</v>
      </c>
      <c r="AG4" s="40"/>
      <c r="AH4" s="40"/>
    </row>
    <row r="5" spans="2:34" x14ac:dyDescent="0.25">
      <c r="B5" s="6" t="s">
        <v>176</v>
      </c>
      <c r="C5" s="6" t="s">
        <v>177</v>
      </c>
      <c r="D5" s="10" t="s">
        <v>188</v>
      </c>
      <c r="G5" s="11" t="s">
        <v>200</v>
      </c>
      <c r="H5" s="11" t="s">
        <v>201</v>
      </c>
      <c r="I5" s="11" t="s">
        <v>202</v>
      </c>
      <c r="X5" s="6" t="s">
        <v>230</v>
      </c>
      <c r="Y5" s="6" t="s">
        <v>231</v>
      </c>
      <c r="Z5" s="6" t="s">
        <v>232</v>
      </c>
      <c r="AB5" s="6" t="s">
        <v>230</v>
      </c>
      <c r="AC5" s="6" t="s">
        <v>231</v>
      </c>
      <c r="AD5" s="6" t="s">
        <v>232</v>
      </c>
      <c r="AF5" s="6" t="s">
        <v>230</v>
      </c>
      <c r="AG5" s="6" t="s">
        <v>231</v>
      </c>
      <c r="AH5" s="6" t="s">
        <v>232</v>
      </c>
    </row>
    <row r="6" spans="2:34" x14ac:dyDescent="0.25">
      <c r="B6" s="6" t="s">
        <v>189</v>
      </c>
      <c r="C6" s="6" t="s">
        <v>190</v>
      </c>
      <c r="D6" s="10" t="s">
        <v>191</v>
      </c>
      <c r="G6" s="11">
        <v>1</v>
      </c>
      <c r="H6" s="11">
        <v>4.12</v>
      </c>
      <c r="I6" s="11">
        <v>127.66</v>
      </c>
      <c r="X6" s="11" t="s">
        <v>206</v>
      </c>
      <c r="Y6" s="13">
        <v>0</v>
      </c>
      <c r="Z6" s="6">
        <f>Y6*$Y$30</f>
        <v>0</v>
      </c>
      <c r="AB6" s="11" t="s">
        <v>206</v>
      </c>
      <c r="AC6" s="13">
        <v>0</v>
      </c>
      <c r="AD6" s="6">
        <f>AC6*$AC$30</f>
        <v>0</v>
      </c>
      <c r="AF6" s="11" t="s">
        <v>206</v>
      </c>
      <c r="AG6">
        <v>0</v>
      </c>
      <c r="AH6" s="6">
        <f>AG7*$AG$30</f>
        <v>0</v>
      </c>
    </row>
    <row r="7" spans="2:34" x14ac:dyDescent="0.25">
      <c r="B7" s="6" t="s">
        <v>192</v>
      </c>
      <c r="C7" s="6" t="s">
        <v>193</v>
      </c>
      <c r="D7" s="6" t="s">
        <v>194</v>
      </c>
      <c r="G7" s="11">
        <v>2</v>
      </c>
      <c r="H7" s="11">
        <v>7.05</v>
      </c>
      <c r="I7" s="11">
        <v>197.52</v>
      </c>
      <c r="X7" s="11" t="s">
        <v>207</v>
      </c>
      <c r="Y7" s="13">
        <v>0</v>
      </c>
      <c r="Z7" s="6">
        <f t="shared" ref="Z7:Z29" si="0">Y7*$Y$30</f>
        <v>0</v>
      </c>
      <c r="AB7" s="11" t="s">
        <v>207</v>
      </c>
      <c r="AC7" s="13">
        <v>0</v>
      </c>
      <c r="AD7" s="6">
        <f t="shared" ref="AD7:AD29" si="1">AC7*$AC$30</f>
        <v>0</v>
      </c>
      <c r="AF7" s="11" t="s">
        <v>207</v>
      </c>
      <c r="AG7" s="13">
        <v>0</v>
      </c>
      <c r="AH7" s="6">
        <f>AG8*$AG$30</f>
        <v>0</v>
      </c>
    </row>
    <row r="8" spans="2:34" x14ac:dyDescent="0.25">
      <c r="B8" s="6" t="s">
        <v>195</v>
      </c>
      <c r="C8" s="6" t="s">
        <v>198</v>
      </c>
      <c r="D8" s="10">
        <v>2094</v>
      </c>
      <c r="G8" s="11">
        <v>3</v>
      </c>
      <c r="H8" s="11">
        <v>10.56</v>
      </c>
      <c r="I8" s="11">
        <v>327.33</v>
      </c>
      <c r="X8" s="11" t="s">
        <v>208</v>
      </c>
      <c r="Y8" s="13">
        <v>0</v>
      </c>
      <c r="Z8" s="6">
        <f t="shared" si="0"/>
        <v>0</v>
      </c>
      <c r="AB8" s="11" t="s">
        <v>208</v>
      </c>
      <c r="AC8" s="13">
        <v>0</v>
      </c>
      <c r="AD8" s="6">
        <f t="shared" si="1"/>
        <v>0</v>
      </c>
      <c r="AF8" s="11" t="s">
        <v>208</v>
      </c>
      <c r="AG8" s="13">
        <v>0</v>
      </c>
      <c r="AH8" s="6">
        <f>AG9*$AG$30</f>
        <v>0</v>
      </c>
    </row>
    <row r="9" spans="2:34" x14ac:dyDescent="0.25">
      <c r="B9" s="6" t="s">
        <v>197</v>
      </c>
      <c r="C9" s="6" t="s">
        <v>196</v>
      </c>
      <c r="D9" s="10" t="s">
        <v>199</v>
      </c>
      <c r="G9" s="11">
        <v>4</v>
      </c>
      <c r="H9" s="11">
        <v>14.82</v>
      </c>
      <c r="I9" s="11">
        <v>444.49</v>
      </c>
      <c r="X9" s="11" t="s">
        <v>209</v>
      </c>
      <c r="Y9" s="13">
        <v>0</v>
      </c>
      <c r="Z9" s="6">
        <f t="shared" si="0"/>
        <v>0</v>
      </c>
      <c r="AB9" s="11" t="s">
        <v>209</v>
      </c>
      <c r="AC9" s="13">
        <v>0</v>
      </c>
      <c r="AD9" s="6">
        <f t="shared" si="1"/>
        <v>0</v>
      </c>
      <c r="AF9" s="11" t="s">
        <v>209</v>
      </c>
      <c r="AG9" s="13">
        <v>0</v>
      </c>
      <c r="AH9" s="6">
        <f>AG10*$AG$30</f>
        <v>0</v>
      </c>
    </row>
    <row r="10" spans="2:34" x14ac:dyDescent="0.25">
      <c r="D10" s="4"/>
      <c r="G10" s="11">
        <v>5</v>
      </c>
      <c r="H10" s="11">
        <v>14.55</v>
      </c>
      <c r="I10" s="11">
        <v>451</v>
      </c>
      <c r="X10" s="11" t="s">
        <v>210</v>
      </c>
      <c r="Y10" s="13">
        <v>0</v>
      </c>
      <c r="Z10" s="6">
        <f t="shared" si="0"/>
        <v>0</v>
      </c>
      <c r="AB10" s="11" t="s">
        <v>210</v>
      </c>
      <c r="AC10" s="13">
        <v>0</v>
      </c>
      <c r="AD10" s="6">
        <f t="shared" si="1"/>
        <v>0</v>
      </c>
      <c r="AF10" s="11" t="s">
        <v>210</v>
      </c>
      <c r="AG10" s="13">
        <v>0</v>
      </c>
      <c r="AH10" s="6">
        <f>AG10*$AG$30</f>
        <v>0</v>
      </c>
    </row>
    <row r="11" spans="2:34" x14ac:dyDescent="0.25">
      <c r="D11" s="4"/>
      <c r="G11" s="11">
        <v>6</v>
      </c>
      <c r="H11" s="11">
        <v>15.27</v>
      </c>
      <c r="I11" s="11">
        <v>458.21</v>
      </c>
      <c r="X11" s="11" t="s">
        <v>211</v>
      </c>
      <c r="Y11" s="13">
        <v>0</v>
      </c>
      <c r="Z11" s="6">
        <f t="shared" si="0"/>
        <v>0</v>
      </c>
      <c r="AB11" s="11" t="s">
        <v>211</v>
      </c>
      <c r="AC11" s="13">
        <v>1.05</v>
      </c>
      <c r="AD11" s="6">
        <f t="shared" si="1"/>
        <v>3.0271315491518179E-3</v>
      </c>
      <c r="AF11" s="11" t="s">
        <v>211</v>
      </c>
      <c r="AG11" s="13">
        <v>33.29</v>
      </c>
      <c r="AH11" s="6">
        <f t="shared" ref="AH11:AH29" si="2">AG11*$AG$30</f>
        <v>9.2599738051562672E-2</v>
      </c>
    </row>
    <row r="12" spans="2:34" x14ac:dyDescent="0.25">
      <c r="D12" s="4"/>
      <c r="G12" s="11">
        <v>7</v>
      </c>
      <c r="H12" s="11">
        <v>15.22</v>
      </c>
      <c r="I12" s="11">
        <v>471.9</v>
      </c>
      <c r="X12" s="11" t="s">
        <v>212</v>
      </c>
      <c r="Y12" s="13">
        <v>0</v>
      </c>
      <c r="Z12" s="6">
        <f t="shared" si="0"/>
        <v>0</v>
      </c>
      <c r="AB12" s="11" t="s">
        <v>212</v>
      </c>
      <c r="AC12" s="13">
        <v>37.78</v>
      </c>
      <c r="AD12" s="6">
        <f t="shared" si="1"/>
        <v>0.10891907612091017</v>
      </c>
      <c r="AF12" s="11" t="s">
        <v>212</v>
      </c>
      <c r="AG12" s="13">
        <v>76.34</v>
      </c>
      <c r="AH12" s="6">
        <f t="shared" si="2"/>
        <v>0.21234797244987369</v>
      </c>
    </row>
    <row r="13" spans="2:34" x14ac:dyDescent="0.25">
      <c r="G13" s="11">
        <v>8</v>
      </c>
      <c r="H13" s="11">
        <v>14.42</v>
      </c>
      <c r="I13" s="11">
        <v>447.11</v>
      </c>
      <c r="X13" s="11" t="s">
        <v>213</v>
      </c>
      <c r="Y13" s="13">
        <v>0</v>
      </c>
      <c r="Z13" s="6">
        <f t="shared" si="0"/>
        <v>0</v>
      </c>
      <c r="AB13" s="11" t="s">
        <v>213</v>
      </c>
      <c r="AC13" s="13">
        <v>139.80000000000001</v>
      </c>
      <c r="AD13" s="6">
        <f t="shared" si="1"/>
        <v>0.40304094340135638</v>
      </c>
      <c r="AF13" s="11" t="s">
        <v>213</v>
      </c>
      <c r="AG13" s="13">
        <v>190.24</v>
      </c>
      <c r="AH13" s="6">
        <f t="shared" si="2"/>
        <v>0.52917315010301247</v>
      </c>
    </row>
    <row r="14" spans="2:34" x14ac:dyDescent="0.25">
      <c r="G14" s="11">
        <v>9</v>
      </c>
      <c r="H14" s="11">
        <v>12.27</v>
      </c>
      <c r="I14" s="11">
        <v>367.97</v>
      </c>
      <c r="X14" s="11" t="s">
        <v>214</v>
      </c>
      <c r="Y14" s="13">
        <v>17.39</v>
      </c>
      <c r="Z14" s="6">
        <f t="shared" si="0"/>
        <v>5.2597932695131279E-2</v>
      </c>
      <c r="AB14" s="11" t="s">
        <v>214</v>
      </c>
      <c r="AC14" s="13">
        <v>292.02999999999997</v>
      </c>
      <c r="AD14" s="6">
        <f t="shared" si="1"/>
        <v>0.84191735837981463</v>
      </c>
      <c r="AF14" s="11" t="s">
        <v>214</v>
      </c>
      <c r="AG14" s="13">
        <v>342.27</v>
      </c>
      <c r="AH14" s="6">
        <f t="shared" si="2"/>
        <v>0.95206104965179794</v>
      </c>
    </row>
    <row r="15" spans="2:34" x14ac:dyDescent="0.25">
      <c r="G15" s="11">
        <v>10</v>
      </c>
      <c r="H15" s="11">
        <v>8.5500000000000007</v>
      </c>
      <c r="I15" s="11">
        <v>264.94</v>
      </c>
      <c r="X15" s="11" t="s">
        <v>215</v>
      </c>
      <c r="Y15" s="13">
        <v>136.21</v>
      </c>
      <c r="Z15" s="6">
        <f t="shared" si="0"/>
        <v>0.41198185235214674</v>
      </c>
      <c r="AB15" s="11" t="s">
        <v>215</v>
      </c>
      <c r="AC15" s="13">
        <v>458.14</v>
      </c>
      <c r="AD15" s="6">
        <f t="shared" si="1"/>
        <v>1.3208095694556323</v>
      </c>
      <c r="AF15" s="11" t="s">
        <v>215</v>
      </c>
      <c r="AG15" s="13">
        <v>481.12</v>
      </c>
      <c r="AH15" s="6">
        <f t="shared" si="2"/>
        <v>1.3382873526995445</v>
      </c>
    </row>
    <row r="16" spans="2:34" x14ac:dyDescent="0.25">
      <c r="G16" s="11">
        <v>11</v>
      </c>
      <c r="H16" s="11">
        <v>4.88</v>
      </c>
      <c r="I16" s="11">
        <v>146.47999999999999</v>
      </c>
      <c r="X16" s="11" t="s">
        <v>216</v>
      </c>
      <c r="Y16" s="13">
        <v>206.3</v>
      </c>
      <c r="Z16" s="6">
        <f t="shared" si="0"/>
        <v>0.62397662535972298</v>
      </c>
      <c r="AB16" s="11" t="s">
        <v>216</v>
      </c>
      <c r="AC16" s="13">
        <v>581.15</v>
      </c>
      <c r="AD16" s="6">
        <f t="shared" si="1"/>
        <v>1.6754452378948372</v>
      </c>
      <c r="AF16" s="11" t="s">
        <v>216</v>
      </c>
      <c r="AG16" s="13">
        <v>568.87</v>
      </c>
      <c r="AH16" s="6">
        <f t="shared" si="2"/>
        <v>1.582373475079377</v>
      </c>
    </row>
    <row r="17" spans="7:34" x14ac:dyDescent="0.25">
      <c r="G17" s="11">
        <v>12</v>
      </c>
      <c r="H17" s="11">
        <v>4.08</v>
      </c>
      <c r="I17" s="11">
        <v>126.35</v>
      </c>
      <c r="X17" s="11" t="s">
        <v>217</v>
      </c>
      <c r="Y17" s="13">
        <v>226.4</v>
      </c>
      <c r="Z17" s="6">
        <f t="shared" si="0"/>
        <v>0.68477124566864411</v>
      </c>
      <c r="AB17" s="11" t="s">
        <v>217</v>
      </c>
      <c r="AC17" s="13">
        <v>643.61</v>
      </c>
      <c r="AD17" s="6">
        <f t="shared" si="1"/>
        <v>1.8555163203329539</v>
      </c>
      <c r="AF17" s="11" t="s">
        <v>217</v>
      </c>
      <c r="AG17" s="13">
        <v>626.07000000000005</v>
      </c>
      <c r="AH17" s="6">
        <f t="shared" si="2"/>
        <v>1.7414814659640085</v>
      </c>
    </row>
    <row r="18" spans="7:34" x14ac:dyDescent="0.25">
      <c r="X18" s="11" t="s">
        <v>218</v>
      </c>
      <c r="Y18" s="13">
        <v>227.83</v>
      </c>
      <c r="Z18" s="6">
        <f t="shared" si="0"/>
        <v>0.68909643507370666</v>
      </c>
      <c r="AB18" s="11" t="s">
        <v>218</v>
      </c>
      <c r="AC18" s="13">
        <v>676.31</v>
      </c>
      <c r="AD18" s="6">
        <f t="shared" si="1"/>
        <v>1.9497898457208247</v>
      </c>
      <c r="AF18" s="11" t="s">
        <v>218</v>
      </c>
      <c r="AG18" s="13">
        <v>627.55999999999995</v>
      </c>
      <c r="AH18" s="6">
        <f t="shared" si="2"/>
        <v>1.745626062230059</v>
      </c>
    </row>
    <row r="19" spans="7:34" x14ac:dyDescent="0.25">
      <c r="X19" s="11" t="s">
        <v>219</v>
      </c>
      <c r="Y19" s="13">
        <v>216.39</v>
      </c>
      <c r="Z19" s="6">
        <f t="shared" si="0"/>
        <v>0.65449491983320618</v>
      </c>
      <c r="AB19" s="11" t="s">
        <v>219</v>
      </c>
      <c r="AC19" s="13">
        <v>653.78</v>
      </c>
      <c r="AD19" s="6">
        <f t="shared" si="1"/>
        <v>1.8848362516233099</v>
      </c>
      <c r="AF19" s="11" t="s">
        <v>219</v>
      </c>
      <c r="AG19" s="13">
        <v>635</v>
      </c>
      <c r="AH19" s="6">
        <f t="shared" si="2"/>
        <v>1.7663212274779903</v>
      </c>
    </row>
    <row r="20" spans="7:34" x14ac:dyDescent="0.25">
      <c r="X20" s="11" t="s">
        <v>220</v>
      </c>
      <c r="Y20" s="13">
        <v>184.53</v>
      </c>
      <c r="Z20" s="6">
        <f t="shared" si="0"/>
        <v>0.55813090973160284</v>
      </c>
      <c r="AB20" s="11" t="s">
        <v>220</v>
      </c>
      <c r="AC20" s="13">
        <v>573.89</v>
      </c>
      <c r="AD20" s="6">
        <f t="shared" si="1"/>
        <v>1.6545147854692732</v>
      </c>
      <c r="AF20" s="11" t="s">
        <v>220</v>
      </c>
      <c r="AG20" s="13">
        <v>592.25</v>
      </c>
      <c r="AH20" s="6">
        <f t="shared" si="2"/>
        <v>1.647407475549354</v>
      </c>
    </row>
    <row r="21" spans="7:34" x14ac:dyDescent="0.25">
      <c r="G21" s="40" t="s">
        <v>203</v>
      </c>
      <c r="H21" s="40"/>
      <c r="I21" s="40"/>
      <c r="X21" s="11" t="s">
        <v>221</v>
      </c>
      <c r="Y21" s="13">
        <v>127.78</v>
      </c>
      <c r="Z21" s="6">
        <f t="shared" si="0"/>
        <v>0.38648440711810667</v>
      </c>
      <c r="AB21" s="11" t="s">
        <v>221</v>
      </c>
      <c r="AC21" s="13">
        <v>471.7</v>
      </c>
      <c r="AD21" s="6">
        <f t="shared" si="1"/>
        <v>1.3599028111761071</v>
      </c>
      <c r="AF21" s="11" t="s">
        <v>221</v>
      </c>
      <c r="AG21" s="13">
        <v>499.77</v>
      </c>
      <c r="AH21" s="6">
        <f t="shared" si="2"/>
        <v>1.3901643462309845</v>
      </c>
    </row>
    <row r="22" spans="7:34" x14ac:dyDescent="0.25">
      <c r="G22" s="11" t="s">
        <v>200</v>
      </c>
      <c r="H22" s="11" t="s">
        <v>201</v>
      </c>
      <c r="I22" s="11" t="s">
        <v>202</v>
      </c>
      <c r="X22" s="11" t="s">
        <v>222</v>
      </c>
      <c r="Y22" s="13">
        <v>19.329999999999998</v>
      </c>
      <c r="Z22" s="6">
        <f t="shared" si="0"/>
        <v>5.8465672167733608E-2</v>
      </c>
      <c r="AB22" s="11" t="s">
        <v>222</v>
      </c>
      <c r="AC22" s="13">
        <v>351.25</v>
      </c>
      <c r="AD22" s="6">
        <f t="shared" si="1"/>
        <v>1.0126475777519772</v>
      </c>
      <c r="AF22" s="11" t="s">
        <v>222</v>
      </c>
      <c r="AG22" s="13">
        <v>395.35</v>
      </c>
      <c r="AH22" s="6">
        <f t="shared" si="2"/>
        <v>1.0997088146195646</v>
      </c>
    </row>
    <row r="23" spans="7:34" x14ac:dyDescent="0.25">
      <c r="G23" s="11">
        <v>1</v>
      </c>
      <c r="H23" s="11">
        <v>2.46</v>
      </c>
      <c r="I23" s="11">
        <v>76.14</v>
      </c>
      <c r="X23" s="11" t="s">
        <v>223</v>
      </c>
      <c r="Y23" s="13">
        <v>0</v>
      </c>
      <c r="Z23" s="6">
        <f t="shared" si="0"/>
        <v>0</v>
      </c>
      <c r="AB23" s="11" t="s">
        <v>223</v>
      </c>
      <c r="AC23" s="13">
        <v>206.88</v>
      </c>
      <c r="AD23" s="6">
        <f t="shared" si="1"/>
        <v>0.59643140465574107</v>
      </c>
      <c r="AF23" s="11" t="s">
        <v>223</v>
      </c>
      <c r="AG23" s="13">
        <v>263.25</v>
      </c>
      <c r="AH23" s="6">
        <f t="shared" si="2"/>
        <v>0.73225836713949755</v>
      </c>
    </row>
    <row r="24" spans="7:34" x14ac:dyDescent="0.25">
      <c r="G24" s="11">
        <v>2</v>
      </c>
      <c r="H24" s="11">
        <v>3.79</v>
      </c>
      <c r="I24" s="11">
        <v>106.22</v>
      </c>
      <c r="X24" s="11" t="s">
        <v>224</v>
      </c>
      <c r="Y24" s="13">
        <v>0</v>
      </c>
      <c r="Z24" s="6">
        <f t="shared" si="0"/>
        <v>0</v>
      </c>
      <c r="AB24" s="11" t="s">
        <v>224</v>
      </c>
      <c r="AC24" s="13">
        <v>53.14</v>
      </c>
      <c r="AD24" s="6">
        <f t="shared" si="1"/>
        <v>0.15320168621135963</v>
      </c>
      <c r="AF24" s="11" t="s">
        <v>224</v>
      </c>
      <c r="AG24" s="13">
        <v>127.84</v>
      </c>
      <c r="AH24" s="6">
        <f t="shared" si="2"/>
        <v>0.35560079641068704</v>
      </c>
    </row>
    <row r="25" spans="7:34" x14ac:dyDescent="0.25">
      <c r="G25" s="11">
        <v>3</v>
      </c>
      <c r="H25" s="11">
        <v>4.8600000000000003</v>
      </c>
      <c r="I25" s="11">
        <v>150.58000000000001</v>
      </c>
      <c r="X25" s="11" t="s">
        <v>225</v>
      </c>
      <c r="Y25" s="13">
        <v>0</v>
      </c>
      <c r="Z25" s="6">
        <f t="shared" si="0"/>
        <v>0</v>
      </c>
      <c r="AB25" s="11" t="s">
        <v>225</v>
      </c>
      <c r="AC25" s="13">
        <v>0</v>
      </c>
      <c r="AD25" s="6">
        <f t="shared" si="1"/>
        <v>0</v>
      </c>
      <c r="AF25" s="11" t="s">
        <v>225</v>
      </c>
      <c r="AG25" s="13">
        <v>30.41</v>
      </c>
      <c r="AH25" s="6">
        <f t="shared" si="2"/>
        <v>8.4588706342686115E-2</v>
      </c>
    </row>
    <row r="26" spans="7:34" x14ac:dyDescent="0.25">
      <c r="G26" s="11">
        <v>4</v>
      </c>
      <c r="H26" s="11">
        <v>5.66</v>
      </c>
      <c r="I26" s="11">
        <v>169.86</v>
      </c>
      <c r="X26" s="11" t="s">
        <v>226</v>
      </c>
      <c r="Y26" s="13">
        <v>0</v>
      </c>
      <c r="Z26" s="6">
        <f t="shared" si="0"/>
        <v>0</v>
      </c>
      <c r="AB26" s="11" t="s">
        <v>226</v>
      </c>
      <c r="AC26" s="13">
        <v>0</v>
      </c>
      <c r="AD26" s="6">
        <f t="shared" si="1"/>
        <v>0</v>
      </c>
      <c r="AF26" s="11" t="s">
        <v>226</v>
      </c>
      <c r="AG26" s="13">
        <v>0</v>
      </c>
      <c r="AH26" s="6">
        <f t="shared" si="2"/>
        <v>0</v>
      </c>
    </row>
    <row r="27" spans="7:34" x14ac:dyDescent="0.25">
      <c r="G27" s="11">
        <v>5</v>
      </c>
      <c r="H27" s="11">
        <v>4.59</v>
      </c>
      <c r="I27" s="11">
        <v>142.27000000000001</v>
      </c>
      <c r="X27" s="11" t="s">
        <v>227</v>
      </c>
      <c r="Y27" s="13">
        <v>0</v>
      </c>
      <c r="Z27" s="6">
        <f t="shared" si="0"/>
        <v>0</v>
      </c>
      <c r="AB27" s="11" t="s">
        <v>227</v>
      </c>
      <c r="AC27" s="13">
        <v>0</v>
      </c>
      <c r="AD27" s="6">
        <f t="shared" si="1"/>
        <v>0</v>
      </c>
      <c r="AF27" s="11" t="s">
        <v>227</v>
      </c>
      <c r="AG27" s="13">
        <v>0</v>
      </c>
      <c r="AH27" s="6">
        <f t="shared" si="2"/>
        <v>0</v>
      </c>
    </row>
    <row r="28" spans="7:34" x14ac:dyDescent="0.25">
      <c r="G28" s="11">
        <v>6</v>
      </c>
      <c r="H28" s="11">
        <v>4.4400000000000004</v>
      </c>
      <c r="I28" s="11">
        <v>133.07</v>
      </c>
      <c r="X28" s="11" t="s">
        <v>228</v>
      </c>
      <c r="Y28" s="13">
        <v>0</v>
      </c>
      <c r="Z28" s="6">
        <f t="shared" si="0"/>
        <v>0</v>
      </c>
      <c r="AB28" s="11" t="s">
        <v>228</v>
      </c>
      <c r="AC28" s="13">
        <v>0</v>
      </c>
      <c r="AD28" s="6">
        <f t="shared" si="1"/>
        <v>0</v>
      </c>
      <c r="AF28" s="11" t="s">
        <v>228</v>
      </c>
      <c r="AG28" s="13">
        <v>0</v>
      </c>
      <c r="AH28" s="6">
        <f t="shared" si="2"/>
        <v>0</v>
      </c>
    </row>
    <row r="29" spans="7:34" x14ac:dyDescent="0.25">
      <c r="G29" s="11">
        <v>7</v>
      </c>
      <c r="H29" s="11">
        <v>4.57</v>
      </c>
      <c r="I29" s="11">
        <v>141.76</v>
      </c>
      <c r="X29" s="11" t="s">
        <v>229</v>
      </c>
      <c r="Y29" s="13">
        <v>0</v>
      </c>
      <c r="Z29" s="6">
        <f t="shared" si="0"/>
        <v>0</v>
      </c>
      <c r="AB29" s="11" t="s">
        <v>229</v>
      </c>
      <c r="AC29" s="13">
        <v>0</v>
      </c>
      <c r="AD29" s="6">
        <f t="shared" si="1"/>
        <v>0</v>
      </c>
      <c r="AF29" s="11" t="s">
        <v>229</v>
      </c>
      <c r="AG29" s="13">
        <v>0</v>
      </c>
      <c r="AH29" s="6">
        <f t="shared" si="2"/>
        <v>0</v>
      </c>
    </row>
    <row r="30" spans="7:34" x14ac:dyDescent="0.25">
      <c r="G30" s="11">
        <v>8</v>
      </c>
      <c r="H30" s="11">
        <v>5.1100000000000003</v>
      </c>
      <c r="I30" s="11">
        <v>158.43</v>
      </c>
      <c r="X30" s="6"/>
      <c r="Y30" s="6">
        <v>3.024607975568216E-3</v>
      </c>
      <c r="Z30" s="6">
        <f>SUM(Z6:Z29)</f>
        <v>4.120000000000001</v>
      </c>
      <c r="AB30" s="6"/>
      <c r="AC30" s="6">
        <v>2.8829824277636362E-3</v>
      </c>
      <c r="AD30" s="6">
        <f>SUM(AD6:AD29)</f>
        <v>14.819999999743247</v>
      </c>
      <c r="AF30" s="6"/>
      <c r="AG30" s="6">
        <v>2.7816082322488036E-3</v>
      </c>
      <c r="AH30" s="6">
        <f>SUM(AH6:AH29)</f>
        <v>15.269999999999998</v>
      </c>
    </row>
    <row r="31" spans="7:34" x14ac:dyDescent="0.25">
      <c r="G31" s="11">
        <v>9</v>
      </c>
      <c r="H31" s="11">
        <v>5.35</v>
      </c>
      <c r="I31" s="11">
        <v>160.43</v>
      </c>
    </row>
    <row r="32" spans="7:34" x14ac:dyDescent="0.25">
      <c r="G32" s="11">
        <v>10</v>
      </c>
      <c r="H32" s="11">
        <v>4.46</v>
      </c>
      <c r="I32" s="11">
        <v>138.22999999999999</v>
      </c>
    </row>
    <row r="33" spans="7:34" x14ac:dyDescent="0.25">
      <c r="G33" s="11">
        <v>11</v>
      </c>
      <c r="H33" s="11">
        <v>2.86</v>
      </c>
      <c r="I33" s="11">
        <v>85.86</v>
      </c>
    </row>
    <row r="34" spans="7:34" x14ac:dyDescent="0.25">
      <c r="G34" s="11">
        <v>12</v>
      </c>
      <c r="H34" s="11">
        <v>2.61</v>
      </c>
      <c r="I34" s="11">
        <v>80.959999999999994</v>
      </c>
      <c r="X34" s="40" t="s">
        <v>234</v>
      </c>
      <c r="Y34" s="40"/>
      <c r="Z34" s="40"/>
      <c r="AB34" s="40" t="s">
        <v>237</v>
      </c>
      <c r="AC34" s="40"/>
      <c r="AD34" s="40"/>
      <c r="AF34" s="40" t="s">
        <v>293</v>
      </c>
      <c r="AG34" s="40"/>
      <c r="AH34" s="40"/>
    </row>
    <row r="35" spans="7:34" x14ac:dyDescent="0.25">
      <c r="G35" s="12"/>
      <c r="H35" s="12"/>
      <c r="I35" s="12"/>
      <c r="X35" s="6" t="s">
        <v>230</v>
      </c>
      <c r="Y35" s="6" t="s">
        <v>231</v>
      </c>
      <c r="Z35" s="6" t="s">
        <v>232</v>
      </c>
      <c r="AB35" s="6" t="s">
        <v>230</v>
      </c>
      <c r="AC35" s="6" t="s">
        <v>231</v>
      </c>
      <c r="AD35" s="6" t="s">
        <v>232</v>
      </c>
      <c r="AF35" s="6" t="s">
        <v>230</v>
      </c>
      <c r="AG35" s="6" t="s">
        <v>231</v>
      </c>
      <c r="AH35" s="6" t="s">
        <v>232</v>
      </c>
    </row>
    <row r="36" spans="7:34" x14ac:dyDescent="0.25">
      <c r="X36" s="11" t="s">
        <v>206</v>
      </c>
      <c r="Y36" s="13">
        <v>0</v>
      </c>
      <c r="Z36" s="6">
        <f>Y36*$Y$60</f>
        <v>0</v>
      </c>
      <c r="AB36" s="11" t="s">
        <v>206</v>
      </c>
      <c r="AC36" s="13">
        <v>0</v>
      </c>
      <c r="AD36" s="6">
        <f>AC36*$AC$60</f>
        <v>0</v>
      </c>
      <c r="AF36" s="11" t="s">
        <v>206</v>
      </c>
      <c r="AG36" s="13">
        <v>0</v>
      </c>
      <c r="AH36" s="6">
        <f>AG36*$AG$60</f>
        <v>0</v>
      </c>
    </row>
    <row r="37" spans="7:34" x14ac:dyDescent="0.25">
      <c r="X37" s="11" t="s">
        <v>207</v>
      </c>
      <c r="Y37" s="13">
        <v>0</v>
      </c>
      <c r="Z37" s="6">
        <f t="shared" ref="Z37:Z59" si="3">Y37*$Y$60</f>
        <v>0</v>
      </c>
      <c r="AB37" s="11" t="s">
        <v>207</v>
      </c>
      <c r="AC37" s="13">
        <v>0</v>
      </c>
      <c r="AD37" s="6">
        <f t="shared" ref="AD37:AD59" si="4">AC37*$AC$60</f>
        <v>0</v>
      </c>
      <c r="AF37" s="11" t="s">
        <v>207</v>
      </c>
      <c r="AG37" s="13">
        <v>0</v>
      </c>
      <c r="AH37" s="6">
        <f t="shared" ref="AH37:AH59" si="5">AG37*$AG$60</f>
        <v>0</v>
      </c>
    </row>
    <row r="38" spans="7:34" x14ac:dyDescent="0.25">
      <c r="X38" s="11" t="s">
        <v>208</v>
      </c>
      <c r="Y38" s="13">
        <v>0</v>
      </c>
      <c r="Z38" s="6">
        <f t="shared" si="3"/>
        <v>0</v>
      </c>
      <c r="AB38" s="11" t="s">
        <v>208</v>
      </c>
      <c r="AC38" s="13">
        <v>0</v>
      </c>
      <c r="AD38" s="6">
        <f t="shared" si="4"/>
        <v>0</v>
      </c>
      <c r="AF38" s="11" t="s">
        <v>208</v>
      </c>
      <c r="AG38" s="13">
        <v>0</v>
      </c>
      <c r="AH38" s="6">
        <f t="shared" si="5"/>
        <v>0</v>
      </c>
    </row>
    <row r="39" spans="7:34" x14ac:dyDescent="0.25">
      <c r="G39" s="40" t="s">
        <v>205</v>
      </c>
      <c r="H39" s="40"/>
      <c r="I39" s="40"/>
      <c r="X39" s="11" t="s">
        <v>209</v>
      </c>
      <c r="Y39" s="13">
        <v>0</v>
      </c>
      <c r="Z39" s="6">
        <f t="shared" si="3"/>
        <v>0</v>
      </c>
      <c r="AB39" s="11" t="s">
        <v>209</v>
      </c>
      <c r="AC39" s="13">
        <v>0</v>
      </c>
      <c r="AD39" s="6">
        <f t="shared" si="4"/>
        <v>0</v>
      </c>
      <c r="AF39" s="11" t="s">
        <v>209</v>
      </c>
      <c r="AG39" s="13">
        <v>0</v>
      </c>
      <c r="AH39" s="6">
        <f t="shared" si="5"/>
        <v>0</v>
      </c>
    </row>
    <row r="40" spans="7:34" x14ac:dyDescent="0.25">
      <c r="G40" s="11" t="s">
        <v>200</v>
      </c>
      <c r="H40" s="11" t="s">
        <v>201</v>
      </c>
      <c r="I40" s="11" t="s">
        <v>202</v>
      </c>
      <c r="X40" s="11" t="s">
        <v>210</v>
      </c>
      <c r="Y40" s="13">
        <v>0</v>
      </c>
      <c r="Z40" s="6">
        <f t="shared" si="3"/>
        <v>0</v>
      </c>
      <c r="AB40" s="11" t="s">
        <v>210</v>
      </c>
      <c r="AC40" s="13">
        <v>0</v>
      </c>
      <c r="AD40" s="6">
        <f t="shared" si="4"/>
        <v>0</v>
      </c>
      <c r="AF40" s="11" t="s">
        <v>210</v>
      </c>
      <c r="AG40" s="13">
        <v>0</v>
      </c>
      <c r="AH40" s="6">
        <f t="shared" si="5"/>
        <v>0</v>
      </c>
    </row>
    <row r="41" spans="7:34" x14ac:dyDescent="0.25">
      <c r="G41" s="11">
        <v>1</v>
      </c>
      <c r="H41" s="11">
        <f>H6+H23</f>
        <v>6.58</v>
      </c>
      <c r="I41" s="11">
        <f>I6+I23</f>
        <v>203.8</v>
      </c>
      <c r="X41" s="11" t="s">
        <v>211</v>
      </c>
      <c r="Y41" s="13">
        <v>0</v>
      </c>
      <c r="Z41" s="6">
        <f t="shared" si="3"/>
        <v>0</v>
      </c>
      <c r="AB41" s="11" t="s">
        <v>211</v>
      </c>
      <c r="AC41" s="13">
        <v>0.55000000000000004</v>
      </c>
      <c r="AD41" s="6">
        <f t="shared" si="4"/>
        <v>9.028238985867473E-4</v>
      </c>
      <c r="AF41" s="11" t="s">
        <v>211</v>
      </c>
      <c r="AG41" s="13">
        <v>17.489999999999998</v>
      </c>
      <c r="AH41" s="6">
        <f t="shared" si="5"/>
        <v>2.6831270601405562E-2</v>
      </c>
    </row>
    <row r="42" spans="7:34" x14ac:dyDescent="0.25">
      <c r="G42" s="11">
        <v>2</v>
      </c>
      <c r="H42" s="11">
        <f t="shared" ref="H42:I52" si="6">H7+H24</f>
        <v>10.84</v>
      </c>
      <c r="I42" s="11">
        <f t="shared" si="6"/>
        <v>303.74</v>
      </c>
      <c r="X42" s="11" t="s">
        <v>212</v>
      </c>
      <c r="Y42" s="13">
        <v>0</v>
      </c>
      <c r="Z42" s="6">
        <f t="shared" si="3"/>
        <v>0</v>
      </c>
      <c r="AB42" s="11" t="s">
        <v>212</v>
      </c>
      <c r="AC42" s="13">
        <v>19.850000000000001</v>
      </c>
      <c r="AD42" s="6">
        <f t="shared" si="4"/>
        <v>3.2583735248994425E-2</v>
      </c>
      <c r="AF42" s="11" t="s">
        <v>212</v>
      </c>
      <c r="AG42" s="13">
        <v>40.1</v>
      </c>
      <c r="AH42" s="6">
        <f t="shared" si="5"/>
        <v>6.1517092688185435E-2</v>
      </c>
    </row>
    <row r="43" spans="7:34" x14ac:dyDescent="0.25">
      <c r="G43" s="11">
        <v>3</v>
      </c>
      <c r="H43" s="11">
        <f t="shared" si="6"/>
        <v>15.420000000000002</v>
      </c>
      <c r="I43" s="11">
        <f t="shared" si="6"/>
        <v>477.90999999999997</v>
      </c>
      <c r="X43" s="11" t="s">
        <v>213</v>
      </c>
      <c r="Y43" s="13">
        <v>0</v>
      </c>
      <c r="Z43" s="6">
        <f t="shared" si="3"/>
        <v>0</v>
      </c>
      <c r="AB43" s="11" t="s">
        <v>213</v>
      </c>
      <c r="AC43" s="13">
        <v>45.44</v>
      </c>
      <c r="AD43" s="6">
        <f t="shared" si="4"/>
        <v>7.4589669003239614E-2</v>
      </c>
      <c r="AF43" s="11" t="s">
        <v>213</v>
      </c>
      <c r="AG43" s="13">
        <v>62.81</v>
      </c>
      <c r="AH43" s="6">
        <f t="shared" si="5"/>
        <v>9.6356323983664019E-2</v>
      </c>
    </row>
    <row r="44" spans="7:34" x14ac:dyDescent="0.25">
      <c r="G44" s="11">
        <v>4</v>
      </c>
      <c r="H44" s="11">
        <f t="shared" si="6"/>
        <v>20.48</v>
      </c>
      <c r="I44" s="11">
        <f t="shared" si="6"/>
        <v>614.35</v>
      </c>
      <c r="X44" s="11" t="s">
        <v>214</v>
      </c>
      <c r="Y44" s="13">
        <v>14.49</v>
      </c>
      <c r="Z44" s="6">
        <f t="shared" si="3"/>
        <v>2.6180784570072935E-2</v>
      </c>
      <c r="AB44" s="11" t="s">
        <v>214</v>
      </c>
      <c r="AC44" s="13">
        <v>124.28</v>
      </c>
      <c r="AD44" s="6">
        <f t="shared" si="4"/>
        <v>0.20400537112065625</v>
      </c>
      <c r="AF44" s="11" t="s">
        <v>214</v>
      </c>
      <c r="AG44" s="13">
        <v>85.2</v>
      </c>
      <c r="AH44" s="6">
        <f t="shared" si="5"/>
        <v>0.1307046458113067</v>
      </c>
    </row>
    <row r="45" spans="7:34" x14ac:dyDescent="0.25">
      <c r="G45" s="11">
        <v>5</v>
      </c>
      <c r="H45" s="11">
        <f t="shared" si="6"/>
        <v>19.14</v>
      </c>
      <c r="I45" s="11">
        <f t="shared" si="6"/>
        <v>593.27</v>
      </c>
      <c r="X45" s="11" t="s">
        <v>215</v>
      </c>
      <c r="Y45" s="13">
        <v>119.4</v>
      </c>
      <c r="Z45" s="6">
        <f t="shared" si="3"/>
        <v>0.21573400121923456</v>
      </c>
      <c r="AB45" s="11" t="s">
        <v>215</v>
      </c>
      <c r="AC45" s="13">
        <v>252.81</v>
      </c>
      <c r="AD45" s="6">
        <f t="shared" si="4"/>
        <v>0.41498710873039191</v>
      </c>
      <c r="AF45" s="11" t="s">
        <v>215</v>
      </c>
      <c r="AG45" s="13">
        <v>193.98</v>
      </c>
      <c r="AH45" s="6">
        <f t="shared" si="5"/>
        <v>0.29758318303377079</v>
      </c>
    </row>
    <row r="46" spans="7:34" x14ac:dyDescent="0.25">
      <c r="G46" s="11">
        <v>6</v>
      </c>
      <c r="H46" s="11">
        <f t="shared" si="6"/>
        <v>19.71</v>
      </c>
      <c r="I46" s="11">
        <f t="shared" si="6"/>
        <v>591.28</v>
      </c>
      <c r="X46" s="11" t="s">
        <v>216</v>
      </c>
      <c r="Y46" s="13">
        <v>184.09</v>
      </c>
      <c r="Z46" s="6">
        <f t="shared" si="3"/>
        <v>0.33261702080777961</v>
      </c>
      <c r="AB46" s="11" t="s">
        <v>216</v>
      </c>
      <c r="AC46" s="13">
        <v>362.23</v>
      </c>
      <c r="AD46" s="6">
        <f t="shared" si="4"/>
        <v>0.59459981960923169</v>
      </c>
      <c r="AF46" s="11" t="s">
        <v>216</v>
      </c>
      <c r="AG46" s="13">
        <v>284.8</v>
      </c>
      <c r="AH46" s="6">
        <f t="shared" si="5"/>
        <v>0.43690942637394542</v>
      </c>
    </row>
    <row r="47" spans="7:34" x14ac:dyDescent="0.25">
      <c r="G47" s="11">
        <v>7</v>
      </c>
      <c r="H47" s="11">
        <f t="shared" si="6"/>
        <v>19.79</v>
      </c>
      <c r="I47" s="11">
        <f t="shared" si="6"/>
        <v>613.66</v>
      </c>
      <c r="X47" s="11" t="s">
        <v>217</v>
      </c>
      <c r="Y47" s="13">
        <v>208.17</v>
      </c>
      <c r="Z47" s="6">
        <f t="shared" si="3"/>
        <v>0.3761251845377559</v>
      </c>
      <c r="AB47" s="11" t="s">
        <v>217</v>
      </c>
      <c r="AC47" s="13">
        <v>431.43</v>
      </c>
      <c r="AD47" s="6">
        <f t="shared" si="4"/>
        <v>0.70819148103141882</v>
      </c>
      <c r="AF47" s="11" t="s">
        <v>217</v>
      </c>
      <c r="AG47" s="13">
        <v>347.13</v>
      </c>
      <c r="AH47" s="6">
        <f t="shared" si="5"/>
        <v>0.53252938615585554</v>
      </c>
    </row>
    <row r="48" spans="7:34" x14ac:dyDescent="0.25">
      <c r="G48" s="11">
        <v>8</v>
      </c>
      <c r="H48" s="11">
        <f t="shared" si="6"/>
        <v>19.53</v>
      </c>
      <c r="I48" s="11">
        <f t="shared" si="6"/>
        <v>605.54</v>
      </c>
      <c r="X48" s="11" t="s">
        <v>218</v>
      </c>
      <c r="Y48" s="13">
        <v>217.03</v>
      </c>
      <c r="Z48" s="6">
        <f t="shared" si="3"/>
        <v>0.39213358697328704</v>
      </c>
      <c r="AB48" s="11" t="s">
        <v>218</v>
      </c>
      <c r="AC48" s="13">
        <v>475.77</v>
      </c>
      <c r="AD48" s="6">
        <f t="shared" si="4"/>
        <v>0.78097550223748491</v>
      </c>
      <c r="AF48" s="11" t="s">
        <v>218</v>
      </c>
      <c r="AG48" s="13">
        <v>371.03</v>
      </c>
      <c r="AH48" s="6">
        <f t="shared" si="5"/>
        <v>0.56919418703484881</v>
      </c>
    </row>
    <row r="49" spans="7:53" x14ac:dyDescent="0.25">
      <c r="G49" s="11">
        <v>9</v>
      </c>
      <c r="H49" s="11">
        <f t="shared" si="6"/>
        <v>17.619999999999997</v>
      </c>
      <c r="I49" s="11">
        <f t="shared" si="6"/>
        <v>528.40000000000009</v>
      </c>
      <c r="X49" s="11" t="s">
        <v>219</v>
      </c>
      <c r="Y49" s="13">
        <v>218.43</v>
      </c>
      <c r="Z49" s="6">
        <f t="shared" si="3"/>
        <v>0.39466313137619263</v>
      </c>
      <c r="AB49" s="11" t="s">
        <v>219</v>
      </c>
      <c r="AC49" s="13">
        <v>475.84</v>
      </c>
      <c r="AD49" s="6">
        <f t="shared" si="4"/>
        <v>0.78109040709730504</v>
      </c>
      <c r="AF49" s="11" t="s">
        <v>219</v>
      </c>
      <c r="AG49" s="13">
        <v>387.24</v>
      </c>
      <c r="AH49" s="6">
        <f t="shared" si="5"/>
        <v>0.5940618197649109</v>
      </c>
    </row>
    <row r="50" spans="7:53" x14ac:dyDescent="0.25">
      <c r="G50" s="11">
        <v>10</v>
      </c>
      <c r="H50" s="11">
        <f t="shared" si="6"/>
        <v>13.010000000000002</v>
      </c>
      <c r="I50" s="11">
        <f t="shared" si="6"/>
        <v>403.16999999999996</v>
      </c>
      <c r="X50" s="11" t="s">
        <v>220</v>
      </c>
      <c r="Y50" s="13">
        <v>205.1</v>
      </c>
      <c r="Z50" s="6">
        <f t="shared" si="3"/>
        <v>0.37057825502567004</v>
      </c>
      <c r="AB50" s="11" t="s">
        <v>220</v>
      </c>
      <c r="AC50" s="13">
        <v>428.1</v>
      </c>
      <c r="AD50" s="6">
        <f t="shared" si="4"/>
        <v>0.70272529269997541</v>
      </c>
      <c r="AF50" s="11" t="s">
        <v>220</v>
      </c>
      <c r="AG50" s="13">
        <v>366.64</v>
      </c>
      <c r="AH50" s="6">
        <f t="shared" si="5"/>
        <v>0.56245952277297517</v>
      </c>
    </row>
    <row r="51" spans="7:53" x14ac:dyDescent="0.25">
      <c r="G51" s="11">
        <v>11</v>
      </c>
      <c r="H51" s="11">
        <f t="shared" si="6"/>
        <v>7.74</v>
      </c>
      <c r="I51" s="11">
        <f t="shared" si="6"/>
        <v>232.33999999999997</v>
      </c>
      <c r="X51" s="11" t="s">
        <v>221</v>
      </c>
      <c r="Y51" s="13">
        <v>164.35</v>
      </c>
      <c r="Z51" s="6">
        <f t="shared" si="3"/>
        <v>0.2969504447268107</v>
      </c>
      <c r="AB51" s="11" t="s">
        <v>221</v>
      </c>
      <c r="AC51" s="13">
        <v>358.81</v>
      </c>
      <c r="AD51" s="6">
        <f t="shared" si="4"/>
        <v>0.58898589645801958</v>
      </c>
      <c r="AF51" s="11" t="s">
        <v>221</v>
      </c>
      <c r="AG51" s="13">
        <v>307.67</v>
      </c>
      <c r="AH51" s="6">
        <f t="shared" si="5"/>
        <v>0.47199411240334194</v>
      </c>
    </row>
    <row r="52" spans="7:53" x14ac:dyDescent="0.25">
      <c r="G52" s="11">
        <v>12</v>
      </c>
      <c r="H52" s="11">
        <f t="shared" si="6"/>
        <v>6.6899999999999995</v>
      </c>
      <c r="I52" s="11">
        <f t="shared" si="6"/>
        <v>207.31</v>
      </c>
      <c r="X52" s="11" t="s">
        <v>222</v>
      </c>
      <c r="Y52" s="13">
        <v>30.45</v>
      </c>
      <c r="Z52" s="6">
        <f t="shared" si="3"/>
        <v>5.5017590763196747E-2</v>
      </c>
      <c r="AB52" s="11" t="s">
        <v>222</v>
      </c>
      <c r="AC52" s="13">
        <v>272.7</v>
      </c>
      <c r="AD52" s="6">
        <f t="shared" si="4"/>
        <v>0.44763650389928356</v>
      </c>
      <c r="AF52" s="11" t="s">
        <v>222</v>
      </c>
      <c r="AG52" s="13">
        <v>234.09</v>
      </c>
      <c r="AH52" s="6">
        <f t="shared" si="5"/>
        <v>0.3591156166428261</v>
      </c>
    </row>
    <row r="53" spans="7:53" x14ac:dyDescent="0.25">
      <c r="I53" s="14">
        <f>SUM(I41:I52)</f>
        <v>5374.7700000000013</v>
      </c>
      <c r="X53" s="11" t="s">
        <v>223</v>
      </c>
      <c r="Y53" s="13">
        <v>0</v>
      </c>
      <c r="Z53" s="6">
        <f t="shared" si="3"/>
        <v>0</v>
      </c>
      <c r="AB53" s="11" t="s">
        <v>223</v>
      </c>
      <c r="AC53" s="13">
        <v>161.88</v>
      </c>
      <c r="AD53" s="6">
        <f t="shared" si="4"/>
        <v>0.26572569582404115</v>
      </c>
      <c r="AF53" s="11" t="s">
        <v>223</v>
      </c>
      <c r="AG53" s="13">
        <v>140.22</v>
      </c>
      <c r="AH53" s="6">
        <f t="shared" si="5"/>
        <v>0.21511039243734068</v>
      </c>
    </row>
    <row r="54" spans="7:53" x14ac:dyDescent="0.25">
      <c r="X54" s="11" t="s">
        <v>224</v>
      </c>
      <c r="Y54" s="13">
        <v>0</v>
      </c>
      <c r="Z54" s="6">
        <f t="shared" si="3"/>
        <v>0</v>
      </c>
      <c r="AB54" s="11" t="s">
        <v>224</v>
      </c>
      <c r="AC54" s="13">
        <v>38.380000000000003</v>
      </c>
      <c r="AD54" s="6">
        <f t="shared" si="4"/>
        <v>6.3000693141380654E-2</v>
      </c>
      <c r="AF54" s="11" t="s">
        <v>224</v>
      </c>
      <c r="AG54" s="13">
        <v>39.840000000000003</v>
      </c>
      <c r="AH54" s="6">
        <f t="shared" si="5"/>
        <v>6.111822874556877E-2</v>
      </c>
    </row>
    <row r="55" spans="7:53" x14ac:dyDescent="0.25">
      <c r="X55" s="11" t="s">
        <v>225</v>
      </c>
      <c r="Y55" s="13">
        <v>0</v>
      </c>
      <c r="Z55" s="6">
        <f t="shared" si="3"/>
        <v>0</v>
      </c>
      <c r="AB55" s="11" t="s">
        <v>225</v>
      </c>
      <c r="AC55" s="13">
        <v>0</v>
      </c>
      <c r="AD55" s="6">
        <f t="shared" si="4"/>
        <v>0</v>
      </c>
      <c r="AF55" s="11" t="s">
        <v>225</v>
      </c>
      <c r="AG55" s="13">
        <v>15.98</v>
      </c>
      <c r="AH55" s="6">
        <f t="shared" si="5"/>
        <v>2.4514791550054944E-2</v>
      </c>
    </row>
    <row r="56" spans="7:53" x14ac:dyDescent="0.25">
      <c r="X56" s="11" t="s">
        <v>226</v>
      </c>
      <c r="Y56" s="13">
        <v>0</v>
      </c>
      <c r="Z56" s="6">
        <f t="shared" si="3"/>
        <v>0</v>
      </c>
      <c r="AB56" s="11" t="s">
        <v>226</v>
      </c>
      <c r="AC56" s="13">
        <v>0</v>
      </c>
      <c r="AD56" s="6">
        <f t="shared" si="4"/>
        <v>0</v>
      </c>
      <c r="AF56" s="11" t="s">
        <v>226</v>
      </c>
      <c r="AG56" s="13">
        <v>0</v>
      </c>
      <c r="AH56" s="6">
        <f t="shared" si="5"/>
        <v>0</v>
      </c>
    </row>
    <row r="57" spans="7:53" x14ac:dyDescent="0.25">
      <c r="X57" s="11" t="s">
        <v>227</v>
      </c>
      <c r="Y57" s="13">
        <v>0</v>
      </c>
      <c r="Z57" s="6">
        <f t="shared" si="3"/>
        <v>0</v>
      </c>
      <c r="AB57" s="11" t="s">
        <v>227</v>
      </c>
      <c r="AC57" s="13">
        <v>0</v>
      </c>
      <c r="AD57" s="6">
        <f t="shared" si="4"/>
        <v>0</v>
      </c>
      <c r="AF57" s="11" t="s">
        <v>227</v>
      </c>
      <c r="AG57" s="13">
        <v>0</v>
      </c>
      <c r="AH57" s="6">
        <f t="shared" si="5"/>
        <v>0</v>
      </c>
    </row>
    <row r="58" spans="7:53" x14ac:dyDescent="0.25">
      <c r="X58" s="11" t="s">
        <v>228</v>
      </c>
      <c r="Y58" s="13">
        <v>0</v>
      </c>
      <c r="Z58" s="6">
        <f t="shared" si="3"/>
        <v>0</v>
      </c>
      <c r="AB58" s="11" t="s">
        <v>228</v>
      </c>
      <c r="AC58" s="13">
        <v>0</v>
      </c>
      <c r="AD58" s="6">
        <f t="shared" si="4"/>
        <v>0</v>
      </c>
      <c r="AF58" s="11" t="s">
        <v>228</v>
      </c>
      <c r="AG58" s="13">
        <v>0</v>
      </c>
      <c r="AH58" s="6">
        <f t="shared" si="5"/>
        <v>0</v>
      </c>
    </row>
    <row r="59" spans="7:53" x14ac:dyDescent="0.25">
      <c r="X59" s="11" t="s">
        <v>229</v>
      </c>
      <c r="Y59" s="13">
        <v>0</v>
      </c>
      <c r="Z59" s="6">
        <f t="shared" si="3"/>
        <v>0</v>
      </c>
      <c r="AB59" s="11" t="s">
        <v>229</v>
      </c>
      <c r="AC59" s="13">
        <v>0</v>
      </c>
      <c r="AD59" s="6">
        <f t="shared" si="4"/>
        <v>0</v>
      </c>
      <c r="AF59" s="11" t="s">
        <v>229</v>
      </c>
      <c r="AG59" s="13">
        <v>0</v>
      </c>
      <c r="AH59" s="6">
        <f t="shared" si="5"/>
        <v>0</v>
      </c>
    </row>
    <row r="60" spans="7:53" x14ac:dyDescent="0.25">
      <c r="X60" s="6"/>
      <c r="Y60" s="6">
        <v>1.8068174306468555E-3</v>
      </c>
      <c r="Z60" s="6">
        <f>SUM(Z36:Z59)</f>
        <v>2.4600000000000004</v>
      </c>
      <c r="AB60" s="6"/>
      <c r="AC60" s="6">
        <v>1.6414979974304494E-3</v>
      </c>
      <c r="AD60" s="6">
        <f>SUM(AD36:AD59)</f>
        <v>5.660000000000009</v>
      </c>
      <c r="AF60" s="6"/>
      <c r="AG60" s="6">
        <v>1.5340920869871678E-3</v>
      </c>
      <c r="AH60" s="6">
        <f>SUM(AH36:AH59)</f>
        <v>4.4400000000000004</v>
      </c>
    </row>
    <row r="63" spans="7:53" x14ac:dyDescent="0.25">
      <c r="AK63" s="6"/>
      <c r="AL63" s="6"/>
      <c r="AM63" s="6"/>
      <c r="AN63" s="6"/>
      <c r="AO63" s="6"/>
    </row>
    <row r="64" spans="7:53" x14ac:dyDescent="0.25">
      <c r="X64" s="40" t="s">
        <v>235</v>
      </c>
      <c r="Y64" s="40"/>
      <c r="Z64" s="40"/>
      <c r="AB64" s="40" t="s">
        <v>238</v>
      </c>
      <c r="AC64" s="40"/>
      <c r="AD64" s="40"/>
      <c r="AF64" s="40" t="s">
        <v>239</v>
      </c>
      <c r="AG64" s="40"/>
      <c r="AH64" s="40"/>
      <c r="AK64" s="40" t="s">
        <v>240</v>
      </c>
      <c r="AL64" s="40"/>
      <c r="AM64" s="6" t="s">
        <v>241</v>
      </c>
      <c r="AN64" s="6" t="s">
        <v>242</v>
      </c>
      <c r="AO64" s="6"/>
      <c r="AQ64" s="40" t="s">
        <v>240</v>
      </c>
      <c r="AR64" s="40"/>
      <c r="AS64" s="6" t="s">
        <v>241</v>
      </c>
      <c r="AT64" s="6" t="s">
        <v>242</v>
      </c>
      <c r="AU64" s="6"/>
      <c r="AW64" s="40" t="s">
        <v>240</v>
      </c>
      <c r="AX64" s="40"/>
      <c r="AY64" s="6" t="s">
        <v>241</v>
      </c>
      <c r="AZ64" s="17" t="s">
        <v>242</v>
      </c>
      <c r="BA64" s="17"/>
    </row>
    <row r="65" spans="24:53" x14ac:dyDescent="0.25">
      <c r="X65" s="6" t="s">
        <v>230</v>
      </c>
      <c r="Y65" s="6" t="s">
        <v>231</v>
      </c>
      <c r="Z65" s="6" t="s">
        <v>232</v>
      </c>
      <c r="AB65" s="6" t="s">
        <v>230</v>
      </c>
      <c r="AC65" s="6" t="s">
        <v>231</v>
      </c>
      <c r="AD65" s="6" t="s">
        <v>232</v>
      </c>
      <c r="AF65" s="6" t="s">
        <v>230</v>
      </c>
      <c r="AG65" s="6" t="s">
        <v>231</v>
      </c>
      <c r="AH65" s="6" t="s">
        <v>232</v>
      </c>
      <c r="AK65" s="6" t="s">
        <v>118</v>
      </c>
      <c r="AL65" s="6" t="s">
        <v>232</v>
      </c>
      <c r="AM65" s="7" t="s">
        <v>232</v>
      </c>
      <c r="AN65" s="7">
        <v>0</v>
      </c>
      <c r="AO65" s="6"/>
      <c r="AQ65" s="6" t="s">
        <v>121</v>
      </c>
      <c r="AR65" s="6" t="s">
        <v>232</v>
      </c>
      <c r="AS65" s="7" t="s">
        <v>232</v>
      </c>
      <c r="AT65" s="7">
        <v>0</v>
      </c>
      <c r="AU65" s="6"/>
      <c r="AW65" s="6" t="s">
        <v>125</v>
      </c>
      <c r="AX65" s="6" t="s">
        <v>232</v>
      </c>
      <c r="AY65" s="7" t="s">
        <v>232</v>
      </c>
      <c r="AZ65" s="15">
        <v>0</v>
      </c>
      <c r="BA65" s="6"/>
    </row>
    <row r="66" spans="24:53" x14ac:dyDescent="0.25">
      <c r="X66" s="11">
        <v>0</v>
      </c>
      <c r="Y66" s="13"/>
      <c r="Z66" s="6">
        <f>Z6+Z36</f>
        <v>0</v>
      </c>
      <c r="AB66" s="11" t="s">
        <v>206</v>
      </c>
      <c r="AC66" s="13"/>
      <c r="AD66" s="6">
        <f>AD6+AD36</f>
        <v>0</v>
      </c>
      <c r="AF66" s="11" t="s">
        <v>206</v>
      </c>
      <c r="AG66" s="13"/>
      <c r="AH66" s="6">
        <f>AH6+AH36</f>
        <v>0</v>
      </c>
      <c r="AK66" s="6">
        <v>0</v>
      </c>
      <c r="AL66" s="6">
        <v>0.17504424778761046</v>
      </c>
      <c r="AM66" s="6">
        <f>Z66-AL66</f>
        <v>-0.17504424778761046</v>
      </c>
      <c r="AN66" s="6">
        <f>AN65+AM66</f>
        <v>-0.17504424778761046</v>
      </c>
      <c r="AO66" s="6">
        <f>AN66/10</f>
        <v>-1.7504424778761046E-2</v>
      </c>
      <c r="AQ66" s="6">
        <v>0</v>
      </c>
      <c r="AR66" s="6">
        <v>0.17504424778761046</v>
      </c>
      <c r="AS66" s="6">
        <f>AD66-AR66</f>
        <v>-0.17504424778761046</v>
      </c>
      <c r="AT66" s="6">
        <f>AT65+AS66</f>
        <v>-0.17504424778761046</v>
      </c>
      <c r="AU66" s="6">
        <f>AT66/10</f>
        <v>-1.7504424778761046E-2</v>
      </c>
      <c r="AW66" s="6">
        <v>0</v>
      </c>
      <c r="AX66" s="6">
        <v>4.8793103448275817E-2</v>
      </c>
      <c r="AY66" s="6">
        <f>AH66-AX66</f>
        <v>-4.8793103448275817E-2</v>
      </c>
      <c r="AZ66" s="6">
        <f>AZ65+AY66</f>
        <v>-4.8793103448275817E-2</v>
      </c>
      <c r="BA66" s="6">
        <f>AZ66/10</f>
        <v>-4.8793103448275818E-3</v>
      </c>
    </row>
    <row r="67" spans="24:53" x14ac:dyDescent="0.25">
      <c r="X67" s="11">
        <v>1</v>
      </c>
      <c r="Y67" s="13"/>
      <c r="Z67" s="6">
        <f t="shared" ref="Z67:Z89" si="7">Z7+Z37</f>
        <v>0</v>
      </c>
      <c r="AB67" s="11" t="s">
        <v>207</v>
      </c>
      <c r="AC67" s="13"/>
      <c r="AD67" s="6">
        <f t="shared" ref="AD67:AD89" si="8">AD7+AD37</f>
        <v>0</v>
      </c>
      <c r="AF67" s="11" t="s">
        <v>207</v>
      </c>
      <c r="AG67" s="13"/>
      <c r="AH67" s="6">
        <f t="shared" ref="AH67:AH89" si="9">AH7+AH37</f>
        <v>0</v>
      </c>
      <c r="AK67" s="6">
        <v>1</v>
      </c>
      <c r="AL67" s="6">
        <v>0.17504424778761046</v>
      </c>
      <c r="AM67" s="6">
        <f t="shared" ref="AM67:AM89" si="10">Z67-AL67</f>
        <v>-0.17504424778761046</v>
      </c>
      <c r="AN67" s="6">
        <f t="shared" ref="AN67:AN89" si="11">AN66+AM67</f>
        <v>-0.35008849557522093</v>
      </c>
      <c r="AO67" s="6">
        <f t="shared" ref="AO67:AO89" si="12">AN67/10</f>
        <v>-3.5008849557522093E-2</v>
      </c>
      <c r="AQ67" s="6">
        <v>1</v>
      </c>
      <c r="AR67" s="6">
        <v>0.17504424778761046</v>
      </c>
      <c r="AS67" s="6">
        <f t="shared" ref="AS67:AS89" si="13">AD67-AR67</f>
        <v>-0.17504424778761046</v>
      </c>
      <c r="AT67" s="6">
        <f t="shared" ref="AT67:AT89" si="14">AT66+AS67</f>
        <v>-0.35008849557522093</v>
      </c>
      <c r="AU67" s="6">
        <f t="shared" ref="AU67:AU89" si="15">AT67/10</f>
        <v>-3.5008849557522093E-2</v>
      </c>
      <c r="AW67" s="6">
        <v>1</v>
      </c>
      <c r="AX67" s="6">
        <v>2.2487931034482762</v>
      </c>
      <c r="AY67" s="6">
        <f t="shared" ref="AY67:AY89" si="16">AH67-AX67</f>
        <v>-2.2487931034482762</v>
      </c>
      <c r="AZ67" s="6">
        <f t="shared" ref="AZ67:AZ89" si="17">AZ66+AY67</f>
        <v>-2.2975862068965522</v>
      </c>
      <c r="BA67" s="6">
        <f t="shared" ref="BA67:BA89" si="18">AZ67/10</f>
        <v>-0.22975862068965522</v>
      </c>
    </row>
    <row r="68" spans="24:53" x14ac:dyDescent="0.25">
      <c r="X68" s="11">
        <v>2</v>
      </c>
      <c r="Y68" s="13"/>
      <c r="Z68" s="6">
        <f t="shared" si="7"/>
        <v>0</v>
      </c>
      <c r="AB68" s="11" t="s">
        <v>208</v>
      </c>
      <c r="AC68" s="13"/>
      <c r="AD68" s="6">
        <f t="shared" si="8"/>
        <v>0</v>
      </c>
      <c r="AF68" s="11" t="s">
        <v>208</v>
      </c>
      <c r="AG68" s="13"/>
      <c r="AH68" s="6">
        <f t="shared" si="9"/>
        <v>0</v>
      </c>
      <c r="AK68" s="6">
        <v>2</v>
      </c>
      <c r="AL68" s="6">
        <v>0.17504424778761046</v>
      </c>
      <c r="AM68" s="6">
        <f t="shared" si="10"/>
        <v>-0.17504424778761046</v>
      </c>
      <c r="AN68" s="6">
        <f t="shared" si="11"/>
        <v>-0.52513274336283144</v>
      </c>
      <c r="AO68" s="6">
        <f t="shared" si="12"/>
        <v>-5.2513274336283146E-2</v>
      </c>
      <c r="AQ68" s="6">
        <v>2</v>
      </c>
      <c r="AR68" s="6">
        <v>0.17504424778761046</v>
      </c>
      <c r="AS68" s="6">
        <f t="shared" si="13"/>
        <v>-0.17504424778761046</v>
      </c>
      <c r="AT68" s="6">
        <f t="shared" si="14"/>
        <v>-0.52513274336283144</v>
      </c>
      <c r="AU68" s="6">
        <f t="shared" si="15"/>
        <v>-5.2513274336283146E-2</v>
      </c>
      <c r="AW68" s="6">
        <v>2</v>
      </c>
      <c r="AX68" s="6">
        <v>2.2487931034482762</v>
      </c>
      <c r="AY68" s="6">
        <f t="shared" si="16"/>
        <v>-2.2487931034482762</v>
      </c>
      <c r="AZ68" s="6">
        <f t="shared" si="17"/>
        <v>-4.5463793103448289</v>
      </c>
      <c r="BA68" s="6">
        <f t="shared" si="18"/>
        <v>-0.45463793103448291</v>
      </c>
    </row>
    <row r="69" spans="24:53" x14ac:dyDescent="0.25">
      <c r="X69" s="11">
        <v>3</v>
      </c>
      <c r="Y69" s="13"/>
      <c r="Z69" s="6">
        <f t="shared" si="7"/>
        <v>0</v>
      </c>
      <c r="AB69" s="11" t="s">
        <v>209</v>
      </c>
      <c r="AC69" s="13"/>
      <c r="AD69" s="6">
        <f t="shared" si="8"/>
        <v>0</v>
      </c>
      <c r="AF69" s="11" t="s">
        <v>209</v>
      </c>
      <c r="AG69" s="13"/>
      <c r="AH69" s="6">
        <f t="shared" si="9"/>
        <v>0</v>
      </c>
      <c r="AK69" s="6">
        <v>3</v>
      </c>
      <c r="AL69" s="6">
        <v>0.17504424778761046</v>
      </c>
      <c r="AM69" s="6">
        <f t="shared" si="10"/>
        <v>-0.17504424778761046</v>
      </c>
      <c r="AN69" s="6">
        <f t="shared" si="11"/>
        <v>-0.70017699115044185</v>
      </c>
      <c r="AO69" s="6">
        <f t="shared" si="12"/>
        <v>-7.0017699115044185E-2</v>
      </c>
      <c r="AQ69" s="6">
        <v>3</v>
      </c>
      <c r="AR69" s="6">
        <v>0.17504424778761046</v>
      </c>
      <c r="AS69" s="6">
        <f t="shared" si="13"/>
        <v>-0.17504424778761046</v>
      </c>
      <c r="AT69" s="6">
        <f t="shared" si="14"/>
        <v>-0.70017699115044185</v>
      </c>
      <c r="AU69" s="6">
        <f t="shared" si="15"/>
        <v>-7.0017699115044185E-2</v>
      </c>
      <c r="AW69" s="6">
        <v>3</v>
      </c>
      <c r="AX69" s="6">
        <v>2.2487931034482762</v>
      </c>
      <c r="AY69" s="6">
        <f t="shared" si="16"/>
        <v>-2.2487931034482762</v>
      </c>
      <c r="AZ69" s="6">
        <f t="shared" si="17"/>
        <v>-6.7951724137931055</v>
      </c>
      <c r="BA69" s="6">
        <f t="shared" si="18"/>
        <v>-0.67951724137931058</v>
      </c>
    </row>
    <row r="70" spans="24:53" x14ac:dyDescent="0.25">
      <c r="X70" s="11">
        <v>4</v>
      </c>
      <c r="Y70" s="13"/>
      <c r="Z70" s="6">
        <f t="shared" si="7"/>
        <v>0</v>
      </c>
      <c r="AB70" s="11" t="s">
        <v>210</v>
      </c>
      <c r="AC70" s="13"/>
      <c r="AD70" s="6">
        <f t="shared" si="8"/>
        <v>0</v>
      </c>
      <c r="AF70" s="11" t="s">
        <v>210</v>
      </c>
      <c r="AG70" s="13"/>
      <c r="AH70" s="6">
        <f t="shared" si="9"/>
        <v>0</v>
      </c>
      <c r="AK70" s="6">
        <v>4</v>
      </c>
      <c r="AL70" s="6">
        <v>0.17504424778761046</v>
      </c>
      <c r="AM70" s="6">
        <f t="shared" si="10"/>
        <v>-0.17504424778761046</v>
      </c>
      <c r="AN70" s="6">
        <f t="shared" si="11"/>
        <v>-0.87522123893805226</v>
      </c>
      <c r="AO70" s="6">
        <f t="shared" si="12"/>
        <v>-8.7522123893805231E-2</v>
      </c>
      <c r="AQ70" s="6">
        <v>4</v>
      </c>
      <c r="AR70" s="6">
        <v>0.17504424778761046</v>
      </c>
      <c r="AS70" s="6">
        <f t="shared" si="13"/>
        <v>-0.17504424778761046</v>
      </c>
      <c r="AT70" s="6">
        <f t="shared" si="14"/>
        <v>-0.87522123893805226</v>
      </c>
      <c r="AU70" s="6">
        <f t="shared" si="15"/>
        <v>-8.7522123893805231E-2</v>
      </c>
      <c r="AW70" s="6">
        <v>4</v>
      </c>
      <c r="AX70" s="6">
        <v>2.2487931034482762</v>
      </c>
      <c r="AY70" s="6">
        <f t="shared" si="16"/>
        <v>-2.2487931034482762</v>
      </c>
      <c r="AZ70" s="6">
        <f t="shared" si="17"/>
        <v>-9.0439655172413822</v>
      </c>
      <c r="BA70" s="6">
        <f t="shared" si="18"/>
        <v>-0.90439655172413824</v>
      </c>
    </row>
    <row r="71" spans="24:53" x14ac:dyDescent="0.25">
      <c r="X71" s="11">
        <v>5</v>
      </c>
      <c r="Y71" s="13"/>
      <c r="Z71" s="6">
        <f t="shared" si="7"/>
        <v>0</v>
      </c>
      <c r="AB71" s="11" t="s">
        <v>211</v>
      </c>
      <c r="AC71" s="13"/>
      <c r="AD71" s="6">
        <f t="shared" si="8"/>
        <v>3.9299554477385656E-3</v>
      </c>
      <c r="AF71" s="11" t="s">
        <v>211</v>
      </c>
      <c r="AG71" s="13"/>
      <c r="AH71" s="6">
        <f>AH11+AH41</f>
        <v>0.11943100865296824</v>
      </c>
      <c r="AK71" s="6">
        <v>5</v>
      </c>
      <c r="AL71" s="6">
        <v>0.17504424778761046</v>
      </c>
      <c r="AM71" s="6">
        <f t="shared" si="10"/>
        <v>-0.17504424778761046</v>
      </c>
      <c r="AN71" s="6">
        <f t="shared" si="11"/>
        <v>-1.0502654867256627</v>
      </c>
      <c r="AO71" s="6">
        <f t="shared" si="12"/>
        <v>-0.10502654867256626</v>
      </c>
      <c r="AQ71" s="6">
        <v>5</v>
      </c>
      <c r="AR71" s="6">
        <v>0.17504424778761046</v>
      </c>
      <c r="AS71" s="6">
        <f t="shared" si="13"/>
        <v>-0.17111429233987191</v>
      </c>
      <c r="AT71" s="6">
        <f t="shared" si="14"/>
        <v>-1.0463355312779241</v>
      </c>
      <c r="AU71" s="6">
        <f t="shared" si="15"/>
        <v>-0.10463355312779241</v>
      </c>
      <c r="AW71" s="6">
        <v>5</v>
      </c>
      <c r="AX71" s="6">
        <v>1.8415517241379307</v>
      </c>
      <c r="AY71" s="6">
        <f t="shared" si="16"/>
        <v>-1.7221207154849625</v>
      </c>
      <c r="AZ71" s="6">
        <f t="shared" si="17"/>
        <v>-10.766086232726344</v>
      </c>
      <c r="BA71" s="6">
        <f t="shared" si="18"/>
        <v>-1.0766086232726344</v>
      </c>
    </row>
    <row r="72" spans="24:53" x14ac:dyDescent="0.25">
      <c r="X72" s="11">
        <v>6</v>
      </c>
      <c r="Y72" s="13"/>
      <c r="Z72" s="6">
        <f t="shared" si="7"/>
        <v>0</v>
      </c>
      <c r="AB72" s="11" t="s">
        <v>212</v>
      </c>
      <c r="AC72" s="13"/>
      <c r="AD72" s="6">
        <f t="shared" si="8"/>
        <v>0.14150281136990461</v>
      </c>
      <c r="AF72" s="11" t="s">
        <v>212</v>
      </c>
      <c r="AG72" s="13"/>
      <c r="AH72" s="6">
        <f t="shared" si="9"/>
        <v>0.27386506513805914</v>
      </c>
      <c r="AK72" s="6">
        <v>6</v>
      </c>
      <c r="AL72" s="6">
        <v>0.4</v>
      </c>
      <c r="AM72" s="6">
        <f t="shared" si="10"/>
        <v>-0.4</v>
      </c>
      <c r="AN72" s="6">
        <f t="shared" si="11"/>
        <v>-1.4502654867256628</v>
      </c>
      <c r="AO72" s="6">
        <f t="shared" si="12"/>
        <v>-0.14502654867256629</v>
      </c>
      <c r="AQ72" s="6">
        <v>6</v>
      </c>
      <c r="AR72" s="6">
        <v>0.4</v>
      </c>
      <c r="AS72" s="6">
        <f t="shared" si="13"/>
        <v>-0.25849718863009541</v>
      </c>
      <c r="AT72" s="6">
        <f t="shared" si="14"/>
        <v>-1.3048327199080196</v>
      </c>
      <c r="AU72" s="6">
        <f t="shared" si="15"/>
        <v>-0.13048327199080195</v>
      </c>
      <c r="AW72" s="6">
        <v>6</v>
      </c>
      <c r="AX72" s="6">
        <v>0.34155172413793067</v>
      </c>
      <c r="AY72" s="6">
        <f t="shared" si="16"/>
        <v>-6.768665899987153E-2</v>
      </c>
      <c r="AZ72" s="6">
        <f t="shared" si="17"/>
        <v>-10.833772891726216</v>
      </c>
      <c r="BA72" s="6">
        <f t="shared" si="18"/>
        <v>-1.0833772891726217</v>
      </c>
    </row>
    <row r="73" spans="24:53" x14ac:dyDescent="0.25">
      <c r="X73" s="11">
        <v>7</v>
      </c>
      <c r="Y73" s="13"/>
      <c r="Z73" s="6">
        <f t="shared" si="7"/>
        <v>0</v>
      </c>
      <c r="AB73" s="11" t="s">
        <v>213</v>
      </c>
      <c r="AC73" s="13"/>
      <c r="AD73" s="6">
        <f t="shared" si="8"/>
        <v>0.47763061240459598</v>
      </c>
      <c r="AF73" s="11" t="s">
        <v>213</v>
      </c>
      <c r="AG73" s="13"/>
      <c r="AH73" s="6">
        <f t="shared" si="9"/>
        <v>0.62552947408667647</v>
      </c>
      <c r="AK73" s="6">
        <v>7</v>
      </c>
      <c r="AL73" s="6">
        <v>0.35008849557522093</v>
      </c>
      <c r="AM73" s="6">
        <f t="shared" si="10"/>
        <v>-0.35008849557522093</v>
      </c>
      <c r="AN73" s="6">
        <f t="shared" si="11"/>
        <v>-1.8003539823008836</v>
      </c>
      <c r="AO73" s="6">
        <f t="shared" si="12"/>
        <v>-0.18003539823008835</v>
      </c>
      <c r="AQ73" s="6">
        <v>7</v>
      </c>
      <c r="AR73" s="6">
        <v>0.21465517241376803</v>
      </c>
      <c r="AS73" s="6">
        <f t="shared" si="13"/>
        <v>0.26297543999082795</v>
      </c>
      <c r="AT73" s="6">
        <f t="shared" si="14"/>
        <v>-1.0418572799171917</v>
      </c>
      <c r="AU73" s="6">
        <f t="shared" si="15"/>
        <v>-0.10418572799171917</v>
      </c>
      <c r="AW73" s="6">
        <v>7</v>
      </c>
      <c r="AX73" s="6">
        <v>9.7586206896551633E-2</v>
      </c>
      <c r="AY73" s="6">
        <f t="shared" si="16"/>
        <v>0.52794326719012485</v>
      </c>
      <c r="AZ73" s="6">
        <f t="shared" si="17"/>
        <v>-10.305829624536091</v>
      </c>
      <c r="BA73" s="6">
        <f t="shared" si="18"/>
        <v>-1.0305829624536091</v>
      </c>
    </row>
    <row r="74" spans="24:53" x14ac:dyDescent="0.25">
      <c r="X74" s="11">
        <v>8</v>
      </c>
      <c r="Y74" s="13"/>
      <c r="Z74" s="6">
        <f t="shared" si="7"/>
        <v>7.8778717265204218E-2</v>
      </c>
      <c r="AB74" s="11" t="s">
        <v>214</v>
      </c>
      <c r="AC74" s="13"/>
      <c r="AD74" s="6">
        <f t="shared" si="8"/>
        <v>1.0459227295004709</v>
      </c>
      <c r="AF74" s="11" t="s">
        <v>214</v>
      </c>
      <c r="AG74" s="13"/>
      <c r="AH74" s="6">
        <f t="shared" si="9"/>
        <v>1.0827656954631046</v>
      </c>
      <c r="AK74" s="6">
        <v>8</v>
      </c>
      <c r="AL74" s="6">
        <v>0.17504424778761046</v>
      </c>
      <c r="AM74" s="6">
        <f t="shared" si="10"/>
        <v>-9.6265530522406245E-2</v>
      </c>
      <c r="AN74" s="6">
        <f t="shared" si="11"/>
        <v>-1.8966195128232899</v>
      </c>
      <c r="AO74" s="6">
        <f t="shared" si="12"/>
        <v>-0.18966195128232899</v>
      </c>
      <c r="AQ74" s="6">
        <v>8</v>
      </c>
      <c r="AR74" s="6">
        <v>0.10732758620688401</v>
      </c>
      <c r="AS74" s="6">
        <f t="shared" si="13"/>
        <v>0.93859514329358695</v>
      </c>
      <c r="AT74" s="6">
        <f t="shared" si="14"/>
        <v>-0.10326213662360473</v>
      </c>
      <c r="AU74" s="6">
        <f t="shared" si="15"/>
        <v>-1.0326213662360473E-2</v>
      </c>
      <c r="AW74" s="6">
        <v>8</v>
      </c>
      <c r="AX74" s="6">
        <v>4.8793103448275817E-2</v>
      </c>
      <c r="AY74" s="6">
        <f t="shared" si="16"/>
        <v>1.0339725920148288</v>
      </c>
      <c r="AZ74" s="6">
        <f t="shared" si="17"/>
        <v>-9.2718570325212628</v>
      </c>
      <c r="BA74" s="6">
        <f t="shared" si="18"/>
        <v>-0.92718570325212624</v>
      </c>
    </row>
    <row r="75" spans="24:53" x14ac:dyDescent="0.25">
      <c r="X75" s="11">
        <v>9</v>
      </c>
      <c r="Y75" s="13"/>
      <c r="Z75" s="6">
        <f t="shared" si="7"/>
        <v>0.62771585357138127</v>
      </c>
      <c r="AB75" s="11" t="s">
        <v>215</v>
      </c>
      <c r="AC75" s="13"/>
      <c r="AD75" s="6">
        <f t="shared" si="8"/>
        <v>1.7357966781860243</v>
      </c>
      <c r="AF75" s="11" t="s">
        <v>215</v>
      </c>
      <c r="AG75" s="13"/>
      <c r="AH75" s="6">
        <f t="shared" si="9"/>
        <v>1.6358705357333152</v>
      </c>
      <c r="AK75" s="6">
        <v>9</v>
      </c>
      <c r="AL75" s="6">
        <v>0.52513274336283133</v>
      </c>
      <c r="AM75" s="6">
        <f t="shared" si="10"/>
        <v>0.10258311020854993</v>
      </c>
      <c r="AN75" s="6">
        <f t="shared" si="11"/>
        <v>-1.79403640261474</v>
      </c>
      <c r="AO75" s="6">
        <f t="shared" si="12"/>
        <v>-0.17940364026147398</v>
      </c>
      <c r="AQ75" s="6">
        <v>9</v>
      </c>
      <c r="AR75" s="6">
        <v>0.32198275862065201</v>
      </c>
      <c r="AS75" s="6">
        <f t="shared" si="13"/>
        <v>1.4138139195653723</v>
      </c>
      <c r="AT75" s="6">
        <f t="shared" si="14"/>
        <v>1.3105517829417677</v>
      </c>
      <c r="AU75" s="6">
        <f t="shared" si="15"/>
        <v>0.13105517829417676</v>
      </c>
      <c r="AW75" s="6">
        <v>9</v>
      </c>
      <c r="AX75" s="6">
        <v>0.14637931034482743</v>
      </c>
      <c r="AY75" s="6">
        <f t="shared" si="16"/>
        <v>1.4894912253884878</v>
      </c>
      <c r="AZ75" s="6">
        <f t="shared" si="17"/>
        <v>-7.7823658071327753</v>
      </c>
      <c r="BA75" s="6">
        <f t="shared" si="18"/>
        <v>-0.7782365807132775</v>
      </c>
    </row>
    <row r="76" spans="24:53" x14ac:dyDescent="0.25">
      <c r="X76" s="11">
        <v>10</v>
      </c>
      <c r="Y76" s="13"/>
      <c r="Z76" s="6">
        <f t="shared" si="7"/>
        <v>0.95659364616750264</v>
      </c>
      <c r="AB76" s="11" t="s">
        <v>216</v>
      </c>
      <c r="AC76" s="13"/>
      <c r="AD76" s="6">
        <f t="shared" si="8"/>
        <v>2.2700450575040687</v>
      </c>
      <c r="AF76" s="11" t="s">
        <v>216</v>
      </c>
      <c r="AG76" s="13"/>
      <c r="AH76" s="6">
        <f t="shared" si="9"/>
        <v>2.0192829014533222</v>
      </c>
      <c r="AK76" s="6">
        <v>10</v>
      </c>
      <c r="AL76" s="6">
        <v>0.70017699115044185</v>
      </c>
      <c r="AM76" s="6">
        <f t="shared" si="10"/>
        <v>0.25641665501706079</v>
      </c>
      <c r="AN76" s="6">
        <f t="shared" si="11"/>
        <v>-1.5376197475976792</v>
      </c>
      <c r="AO76" s="6">
        <f t="shared" si="12"/>
        <v>-0.15376197475976791</v>
      </c>
      <c r="AQ76" s="6">
        <v>10</v>
      </c>
      <c r="AR76" s="6">
        <v>0.42931034482753605</v>
      </c>
      <c r="AS76" s="6">
        <f t="shared" si="13"/>
        <v>1.8407347126765328</v>
      </c>
      <c r="AT76" s="6">
        <f t="shared" si="14"/>
        <v>3.1512864956183004</v>
      </c>
      <c r="AU76" s="6">
        <f t="shared" si="15"/>
        <v>0.31512864956183007</v>
      </c>
      <c r="AW76" s="6">
        <v>10</v>
      </c>
      <c r="AX76" s="6">
        <v>0.19517241379310327</v>
      </c>
      <c r="AY76" s="6">
        <f t="shared" si="16"/>
        <v>1.824110487660219</v>
      </c>
      <c r="AZ76" s="6">
        <f t="shared" si="17"/>
        <v>-5.9582553194725563</v>
      </c>
      <c r="BA76" s="6">
        <f t="shared" si="18"/>
        <v>-0.59582553194725563</v>
      </c>
    </row>
    <row r="77" spans="24:53" x14ac:dyDescent="0.25">
      <c r="X77" s="11">
        <v>11</v>
      </c>
      <c r="Y77" s="13"/>
      <c r="Z77" s="6">
        <f t="shared" si="7"/>
        <v>1.0608964302063999</v>
      </c>
      <c r="AB77" s="11" t="s">
        <v>217</v>
      </c>
      <c r="AC77" s="13"/>
      <c r="AD77" s="6">
        <f t="shared" si="8"/>
        <v>2.5637078013643726</v>
      </c>
      <c r="AF77" s="11" t="s">
        <v>217</v>
      </c>
      <c r="AG77" s="13"/>
      <c r="AH77" s="6">
        <f t="shared" si="9"/>
        <v>2.2740108521198641</v>
      </c>
      <c r="AK77" s="6">
        <v>11</v>
      </c>
      <c r="AL77" s="6">
        <v>1.4003539823008837</v>
      </c>
      <c r="AM77" s="6">
        <f t="shared" si="10"/>
        <v>-0.33945755209448381</v>
      </c>
      <c r="AN77" s="6">
        <f t="shared" si="11"/>
        <v>-1.877077299692163</v>
      </c>
      <c r="AO77" s="6">
        <f t="shared" si="12"/>
        <v>-0.18770772996921631</v>
      </c>
      <c r="AQ77" s="6">
        <v>11</v>
      </c>
      <c r="AR77" s="6">
        <v>0.8586206896550721</v>
      </c>
      <c r="AS77" s="6">
        <f t="shared" si="13"/>
        <v>1.7050871117093005</v>
      </c>
      <c r="AT77" s="6">
        <f t="shared" si="14"/>
        <v>4.8563736073276011</v>
      </c>
      <c r="AU77" s="6">
        <f t="shared" si="15"/>
        <v>0.48563736073276009</v>
      </c>
      <c r="AW77" s="6">
        <v>11</v>
      </c>
      <c r="AX77" s="6">
        <v>0.39034482758620653</v>
      </c>
      <c r="AY77" s="6">
        <f t="shared" si="16"/>
        <v>1.8836660245336576</v>
      </c>
      <c r="AZ77" s="6">
        <f t="shared" si="17"/>
        <v>-4.0745892949388987</v>
      </c>
      <c r="BA77" s="6">
        <f t="shared" si="18"/>
        <v>-0.40745892949388984</v>
      </c>
    </row>
    <row r="78" spans="24:53" x14ac:dyDescent="0.25">
      <c r="X78" s="11">
        <v>12</v>
      </c>
      <c r="Y78" s="13"/>
      <c r="Z78" s="6">
        <f t="shared" si="7"/>
        <v>1.0812300220469937</v>
      </c>
      <c r="AB78" s="11" t="s">
        <v>218</v>
      </c>
      <c r="AC78" s="13"/>
      <c r="AD78" s="6">
        <f t="shared" si="8"/>
        <v>2.7307653479583096</v>
      </c>
      <c r="AF78" s="11" t="s">
        <v>218</v>
      </c>
      <c r="AG78" s="13"/>
      <c r="AH78" s="6">
        <f t="shared" si="9"/>
        <v>2.3148202492649079</v>
      </c>
      <c r="AK78" s="6">
        <v>12</v>
      </c>
      <c r="AL78" s="6">
        <v>1.7653982300884941</v>
      </c>
      <c r="AM78" s="6">
        <f t="shared" si="10"/>
        <v>-0.68416820804150036</v>
      </c>
      <c r="AN78" s="6">
        <f t="shared" si="11"/>
        <v>-2.5612455077336636</v>
      </c>
      <c r="AO78" s="6">
        <f t="shared" si="12"/>
        <v>-0.25612455077336638</v>
      </c>
      <c r="AQ78" s="6">
        <v>12</v>
      </c>
      <c r="AR78" s="6">
        <v>1.1559482758619561</v>
      </c>
      <c r="AS78" s="6">
        <f t="shared" si="13"/>
        <v>1.5748170720963535</v>
      </c>
      <c r="AT78" s="6">
        <f t="shared" si="14"/>
        <v>6.4311906794239544</v>
      </c>
      <c r="AU78" s="6">
        <f t="shared" si="15"/>
        <v>0.64311906794239548</v>
      </c>
      <c r="AW78" s="6">
        <v>12</v>
      </c>
      <c r="AX78" s="6">
        <v>0.62913793103448235</v>
      </c>
      <c r="AY78" s="6">
        <f t="shared" si="16"/>
        <v>1.6856823182304255</v>
      </c>
      <c r="AZ78" s="6">
        <f t="shared" si="17"/>
        <v>-2.3889069767084732</v>
      </c>
      <c r="BA78" s="6">
        <f t="shared" si="18"/>
        <v>-0.23889069767084731</v>
      </c>
    </row>
    <row r="79" spans="24:53" x14ac:dyDescent="0.25">
      <c r="X79" s="11">
        <v>13</v>
      </c>
      <c r="Y79" s="13"/>
      <c r="Z79" s="6">
        <f t="shared" si="7"/>
        <v>1.0491580512093988</v>
      </c>
      <c r="AB79" s="11" t="s">
        <v>219</v>
      </c>
      <c r="AC79" s="13"/>
      <c r="AD79" s="6">
        <f t="shared" si="8"/>
        <v>2.6659266587206147</v>
      </c>
      <c r="AF79" s="11" t="s">
        <v>219</v>
      </c>
      <c r="AG79" s="13"/>
      <c r="AH79" s="6">
        <f t="shared" si="9"/>
        <v>2.3603830472429013</v>
      </c>
      <c r="AK79" s="6">
        <v>13</v>
      </c>
      <c r="AL79" s="6">
        <v>1.0502654867256627</v>
      </c>
      <c r="AM79" s="6">
        <f t="shared" si="10"/>
        <v>-1.1074355162639105E-3</v>
      </c>
      <c r="AN79" s="6">
        <f t="shared" si="11"/>
        <v>-2.5623529432499277</v>
      </c>
      <c r="AO79" s="6">
        <f t="shared" si="12"/>
        <v>-0.25623529432499276</v>
      </c>
      <c r="AQ79" s="6">
        <v>13</v>
      </c>
      <c r="AR79" s="6">
        <v>0.64396551724130402</v>
      </c>
      <c r="AS79" s="6">
        <f t="shared" si="13"/>
        <v>2.0219611414793106</v>
      </c>
      <c r="AT79" s="6">
        <f t="shared" si="14"/>
        <v>8.4531518209032654</v>
      </c>
      <c r="AU79" s="6">
        <f t="shared" si="15"/>
        <v>0.84531518209032652</v>
      </c>
      <c r="AW79" s="6">
        <v>13</v>
      </c>
      <c r="AX79" s="6">
        <v>0.29275862068965486</v>
      </c>
      <c r="AY79" s="6">
        <f t="shared" si="16"/>
        <v>2.0676244265532464</v>
      </c>
      <c r="AZ79" s="6">
        <f t="shared" si="17"/>
        <v>-0.32128255015522678</v>
      </c>
      <c r="BA79" s="6">
        <f t="shared" si="18"/>
        <v>-3.2128255015522675E-2</v>
      </c>
    </row>
    <row r="80" spans="24:53" x14ac:dyDescent="0.25">
      <c r="X80" s="11">
        <v>14</v>
      </c>
      <c r="Y80" s="13"/>
      <c r="Z80" s="6">
        <f t="shared" si="7"/>
        <v>0.92870916475727294</v>
      </c>
      <c r="AB80" s="11" t="s">
        <v>220</v>
      </c>
      <c r="AC80" s="13"/>
      <c r="AD80" s="6">
        <f t="shared" si="8"/>
        <v>2.3572400781692489</v>
      </c>
      <c r="AF80" s="11" t="s">
        <v>220</v>
      </c>
      <c r="AG80" s="13"/>
      <c r="AH80" s="6">
        <f t="shared" si="9"/>
        <v>2.2098669983223291</v>
      </c>
      <c r="AK80" s="6">
        <v>14</v>
      </c>
      <c r="AL80" s="6">
        <v>0.87522123893805226</v>
      </c>
      <c r="AM80" s="6">
        <f t="shared" si="10"/>
        <v>5.3487925819220683E-2</v>
      </c>
      <c r="AN80" s="6">
        <f t="shared" si="11"/>
        <v>-2.5088650174307068</v>
      </c>
      <c r="AO80" s="6">
        <f t="shared" si="12"/>
        <v>-0.2508865017430707</v>
      </c>
      <c r="AQ80" s="6">
        <v>14</v>
      </c>
      <c r="AR80" s="6">
        <v>0.53663793103442003</v>
      </c>
      <c r="AS80" s="6">
        <f t="shared" si="13"/>
        <v>1.8206021471348288</v>
      </c>
      <c r="AT80" s="6">
        <f t="shared" si="14"/>
        <v>10.273753968038093</v>
      </c>
      <c r="AU80" s="6">
        <f t="shared" si="15"/>
        <v>1.0273753968038093</v>
      </c>
      <c r="AW80" s="6">
        <v>14</v>
      </c>
      <c r="AX80" s="6">
        <v>0.24396551724137908</v>
      </c>
      <c r="AY80" s="6">
        <f t="shared" si="16"/>
        <v>1.9659014810809501</v>
      </c>
      <c r="AZ80" s="6">
        <f t="shared" si="17"/>
        <v>1.6446189309257233</v>
      </c>
      <c r="BA80" s="6">
        <f t="shared" si="18"/>
        <v>0.16446189309257234</v>
      </c>
    </row>
    <row r="81" spans="24:53" x14ac:dyDescent="0.25">
      <c r="X81" s="11">
        <v>15</v>
      </c>
      <c r="Y81" s="13"/>
      <c r="Z81" s="6">
        <f t="shared" si="7"/>
        <v>0.68343485184491737</v>
      </c>
      <c r="AB81" s="11" t="s">
        <v>221</v>
      </c>
      <c r="AC81" s="13"/>
      <c r="AD81" s="6">
        <f t="shared" si="8"/>
        <v>1.9488887076341266</v>
      </c>
      <c r="AF81" s="11" t="s">
        <v>221</v>
      </c>
      <c r="AG81" s="13"/>
      <c r="AH81" s="6">
        <f t="shared" si="9"/>
        <v>1.8621584586343265</v>
      </c>
      <c r="AK81" s="6">
        <v>15</v>
      </c>
      <c r="AL81" s="6">
        <v>0.52513274336283133</v>
      </c>
      <c r="AM81" s="6">
        <f t="shared" si="10"/>
        <v>0.15830210848208603</v>
      </c>
      <c r="AN81" s="6">
        <f t="shared" si="11"/>
        <v>-2.3505629089486209</v>
      </c>
      <c r="AO81" s="6">
        <f t="shared" si="12"/>
        <v>-0.23505629089486207</v>
      </c>
      <c r="AQ81" s="6">
        <v>15</v>
      </c>
      <c r="AR81" s="6">
        <v>0.32198275862065201</v>
      </c>
      <c r="AS81" s="6">
        <f t="shared" si="13"/>
        <v>1.6269059490134745</v>
      </c>
      <c r="AT81" s="6">
        <f t="shared" si="14"/>
        <v>11.900659917051568</v>
      </c>
      <c r="AU81" s="6">
        <f t="shared" si="15"/>
        <v>1.1900659917051568</v>
      </c>
      <c r="AW81" s="6">
        <v>15</v>
      </c>
      <c r="AX81" s="6">
        <v>0.14637931034482743</v>
      </c>
      <c r="AY81" s="6">
        <f t="shared" si="16"/>
        <v>1.7157791482894991</v>
      </c>
      <c r="AZ81" s="6">
        <f t="shared" si="17"/>
        <v>3.3603980792152224</v>
      </c>
      <c r="BA81" s="6">
        <f t="shared" si="18"/>
        <v>0.33603980792152222</v>
      </c>
    </row>
    <row r="82" spans="24:53" x14ac:dyDescent="0.25">
      <c r="X82" s="11">
        <v>16</v>
      </c>
      <c r="Y82" s="13"/>
      <c r="Z82" s="6">
        <f t="shared" si="7"/>
        <v>0.11348326293093036</v>
      </c>
      <c r="AB82" s="11" t="s">
        <v>222</v>
      </c>
      <c r="AC82" s="13"/>
      <c r="AD82" s="6">
        <f t="shared" si="8"/>
        <v>1.4602840816512608</v>
      </c>
      <c r="AF82" s="11" t="s">
        <v>222</v>
      </c>
      <c r="AG82" s="13"/>
      <c r="AH82" s="6">
        <f t="shared" si="9"/>
        <v>1.4588244312623906</v>
      </c>
      <c r="AK82" s="6">
        <v>16</v>
      </c>
      <c r="AL82" s="6">
        <v>1.4003539823008837</v>
      </c>
      <c r="AM82" s="6">
        <f t="shared" si="10"/>
        <v>-1.2868707193699533</v>
      </c>
      <c r="AN82" s="6">
        <f t="shared" si="11"/>
        <v>-3.6374336283185742</v>
      </c>
      <c r="AO82" s="6">
        <f t="shared" si="12"/>
        <v>-0.36374336283185743</v>
      </c>
      <c r="AQ82" s="6">
        <v>16</v>
      </c>
      <c r="AR82" s="6">
        <v>0.8586206896550721</v>
      </c>
      <c r="AS82" s="6">
        <f t="shared" si="13"/>
        <v>0.60166339199618868</v>
      </c>
      <c r="AT82" s="6">
        <f t="shared" si="14"/>
        <v>12.502323309047757</v>
      </c>
      <c r="AU82" s="6">
        <f t="shared" si="15"/>
        <v>1.2502323309047756</v>
      </c>
      <c r="AW82" s="6">
        <v>16</v>
      </c>
      <c r="AX82" s="6">
        <v>0.39034482758620653</v>
      </c>
      <c r="AY82" s="6">
        <f t="shared" si="16"/>
        <v>1.0684796036761841</v>
      </c>
      <c r="AZ82" s="6">
        <f t="shared" si="17"/>
        <v>4.4288776828914065</v>
      </c>
      <c r="BA82" s="6">
        <f t="shared" si="18"/>
        <v>0.44288776828914067</v>
      </c>
    </row>
    <row r="83" spans="24:53" x14ac:dyDescent="0.25">
      <c r="X83" s="11">
        <v>17</v>
      </c>
      <c r="Y83" s="13"/>
      <c r="Z83" s="6">
        <f t="shared" si="7"/>
        <v>0</v>
      </c>
      <c r="AB83" s="11" t="s">
        <v>223</v>
      </c>
      <c r="AC83" s="13"/>
      <c r="AD83" s="6">
        <f t="shared" si="8"/>
        <v>0.86215710047978222</v>
      </c>
      <c r="AF83" s="11" t="s">
        <v>223</v>
      </c>
      <c r="AG83" s="13"/>
      <c r="AH83" s="6">
        <f t="shared" si="9"/>
        <v>0.94736875957683819</v>
      </c>
      <c r="AK83" s="6">
        <v>17</v>
      </c>
      <c r="AL83" s="6">
        <v>1.5753982300884941</v>
      </c>
      <c r="AM83" s="6">
        <f t="shared" si="10"/>
        <v>-1.5753982300884941</v>
      </c>
      <c r="AN83" s="6">
        <f t="shared" si="11"/>
        <v>-5.2128318584070685</v>
      </c>
      <c r="AO83" s="6">
        <f t="shared" si="12"/>
        <v>-0.52128318584070688</v>
      </c>
      <c r="AQ83" s="6">
        <v>17</v>
      </c>
      <c r="AR83" s="6">
        <v>0.96594827586195608</v>
      </c>
      <c r="AS83" s="6">
        <f t="shared" si="13"/>
        <v>-0.10379117538217386</v>
      </c>
      <c r="AT83" s="6">
        <f t="shared" si="14"/>
        <v>12.398532133665583</v>
      </c>
      <c r="AU83" s="6">
        <f t="shared" si="15"/>
        <v>1.2398532133665583</v>
      </c>
      <c r="AW83" s="6">
        <v>17</v>
      </c>
      <c r="AX83" s="6">
        <v>0.43913793103448234</v>
      </c>
      <c r="AY83" s="6">
        <f t="shared" si="16"/>
        <v>0.50823082854235579</v>
      </c>
      <c r="AZ83" s="6">
        <f t="shared" si="17"/>
        <v>4.9371085114337623</v>
      </c>
      <c r="BA83" s="6">
        <f t="shared" si="18"/>
        <v>0.49371085114337621</v>
      </c>
    </row>
    <row r="84" spans="24:53" x14ac:dyDescent="0.25">
      <c r="X84" s="11">
        <v>18</v>
      </c>
      <c r="Y84" s="13"/>
      <c r="Z84" s="6">
        <f t="shared" si="7"/>
        <v>0</v>
      </c>
      <c r="AB84" s="11" t="s">
        <v>224</v>
      </c>
      <c r="AC84" s="13"/>
      <c r="AD84" s="6">
        <f t="shared" si="8"/>
        <v>0.21620237935274028</v>
      </c>
      <c r="AF84" s="11" t="s">
        <v>224</v>
      </c>
      <c r="AG84" s="13"/>
      <c r="AH84" s="6">
        <f t="shared" si="9"/>
        <v>0.41671902515625581</v>
      </c>
      <c r="AK84" s="6">
        <v>18</v>
      </c>
      <c r="AL84" s="6">
        <v>1.7504424778761045</v>
      </c>
      <c r="AM84" s="6">
        <f t="shared" si="10"/>
        <v>-1.7504424778761045</v>
      </c>
      <c r="AN84" s="6">
        <f t="shared" si="11"/>
        <v>-6.963274336283173</v>
      </c>
      <c r="AO84" s="6">
        <f t="shared" si="12"/>
        <v>-0.69632743362831728</v>
      </c>
      <c r="AQ84" s="6">
        <v>18</v>
      </c>
      <c r="AR84" s="6">
        <v>1.0732758620688401</v>
      </c>
      <c r="AS84" s="6">
        <f t="shared" si="13"/>
        <v>-0.85707348271609973</v>
      </c>
      <c r="AT84" s="6">
        <f t="shared" si="14"/>
        <v>11.541458650949483</v>
      </c>
      <c r="AU84" s="6">
        <f t="shared" si="15"/>
        <v>1.1541458650949483</v>
      </c>
      <c r="AW84" s="6">
        <v>18</v>
      </c>
      <c r="AX84" s="6">
        <v>0.48793103448275815</v>
      </c>
      <c r="AY84" s="6">
        <f t="shared" si="16"/>
        <v>-7.1212009326502346E-2</v>
      </c>
      <c r="AZ84" s="6">
        <f t="shared" si="17"/>
        <v>4.86589650210726</v>
      </c>
      <c r="BA84" s="6">
        <f t="shared" si="18"/>
        <v>0.48658965021072598</v>
      </c>
    </row>
    <row r="85" spans="24:53" x14ac:dyDescent="0.25">
      <c r="X85" s="11">
        <v>19</v>
      </c>
      <c r="Y85" s="13"/>
      <c r="Z85" s="6">
        <f t="shared" si="7"/>
        <v>0</v>
      </c>
      <c r="AB85" s="11" t="s">
        <v>225</v>
      </c>
      <c r="AC85" s="13"/>
      <c r="AD85" s="6">
        <f t="shared" si="8"/>
        <v>0</v>
      </c>
      <c r="AF85" s="11" t="s">
        <v>225</v>
      </c>
      <c r="AG85" s="13"/>
      <c r="AH85" s="6">
        <f t="shared" si="9"/>
        <v>0.10910349789274106</v>
      </c>
      <c r="AK85" s="6">
        <v>19</v>
      </c>
      <c r="AL85" s="6">
        <v>1.5753982300884941</v>
      </c>
      <c r="AM85" s="6">
        <f t="shared" si="10"/>
        <v>-1.5753982300884941</v>
      </c>
      <c r="AN85" s="6">
        <f t="shared" si="11"/>
        <v>-8.5386725663716678</v>
      </c>
      <c r="AO85" s="6">
        <f t="shared" si="12"/>
        <v>-0.85386725663716678</v>
      </c>
      <c r="AQ85" s="6">
        <v>19</v>
      </c>
      <c r="AR85" s="6">
        <v>0.96594827586195608</v>
      </c>
      <c r="AS85" s="6">
        <f t="shared" si="13"/>
        <v>-0.96594827586195608</v>
      </c>
      <c r="AT85" s="6">
        <f t="shared" si="14"/>
        <v>10.575510375087527</v>
      </c>
      <c r="AU85" s="6">
        <f t="shared" si="15"/>
        <v>1.0575510375087527</v>
      </c>
      <c r="AW85" s="6">
        <v>19</v>
      </c>
      <c r="AX85" s="6">
        <v>0.43913793103448234</v>
      </c>
      <c r="AY85" s="6">
        <f t="shared" si="16"/>
        <v>-0.3300344331417413</v>
      </c>
      <c r="AZ85" s="6">
        <f t="shared" si="17"/>
        <v>4.5358620689655185</v>
      </c>
      <c r="BA85" s="6">
        <f t="shared" si="18"/>
        <v>0.45358620689655182</v>
      </c>
    </row>
    <row r="86" spans="24:53" x14ac:dyDescent="0.25">
      <c r="X86" s="11">
        <v>20</v>
      </c>
      <c r="Y86" s="13"/>
      <c r="Z86" s="6">
        <f t="shared" si="7"/>
        <v>0</v>
      </c>
      <c r="AB86" s="11" t="s">
        <v>226</v>
      </c>
      <c r="AC86" s="13"/>
      <c r="AD86" s="6">
        <f t="shared" si="8"/>
        <v>0</v>
      </c>
      <c r="AF86" s="11" t="s">
        <v>226</v>
      </c>
      <c r="AG86" s="13"/>
      <c r="AH86" s="6">
        <f t="shared" si="9"/>
        <v>0</v>
      </c>
      <c r="AK86" s="6">
        <v>20</v>
      </c>
      <c r="AL86" s="6">
        <v>1.4003539823008837</v>
      </c>
      <c r="AM86" s="6">
        <f t="shared" si="10"/>
        <v>-1.4003539823008837</v>
      </c>
      <c r="AN86" s="6">
        <f t="shared" si="11"/>
        <v>-9.9390265486725511</v>
      </c>
      <c r="AO86" s="6">
        <f t="shared" si="12"/>
        <v>-0.99390265486725515</v>
      </c>
      <c r="AQ86" s="6">
        <v>20</v>
      </c>
      <c r="AR86" s="6">
        <v>0.8586206896550721</v>
      </c>
      <c r="AS86" s="6">
        <f t="shared" si="13"/>
        <v>-0.8586206896550721</v>
      </c>
      <c r="AT86" s="6">
        <f t="shared" si="14"/>
        <v>9.716889685432454</v>
      </c>
      <c r="AU86" s="6">
        <f t="shared" si="15"/>
        <v>0.97168896854324538</v>
      </c>
      <c r="AW86" s="6">
        <v>20</v>
      </c>
      <c r="AX86" s="6">
        <v>0.39034482758620653</v>
      </c>
      <c r="AY86" s="6">
        <f t="shared" si="16"/>
        <v>-0.39034482758620653</v>
      </c>
      <c r="AZ86" s="6">
        <f t="shared" si="17"/>
        <v>4.145517241379312</v>
      </c>
      <c r="BA86" s="6">
        <f t="shared" si="18"/>
        <v>0.41455172413793118</v>
      </c>
    </row>
    <row r="87" spans="24:53" x14ac:dyDescent="0.25">
      <c r="X87" s="11">
        <v>21</v>
      </c>
      <c r="Y87" s="13"/>
      <c r="Z87" s="6">
        <f t="shared" si="7"/>
        <v>0</v>
      </c>
      <c r="AB87" s="11" t="s">
        <v>227</v>
      </c>
      <c r="AC87" s="13"/>
      <c r="AD87" s="6">
        <f t="shared" si="8"/>
        <v>0</v>
      </c>
      <c r="AF87" s="11" t="s">
        <v>227</v>
      </c>
      <c r="AG87" s="13"/>
      <c r="AH87" s="6">
        <f t="shared" si="9"/>
        <v>0</v>
      </c>
      <c r="AK87" s="6">
        <v>21</v>
      </c>
      <c r="AL87" s="6">
        <v>1.2253097345132731</v>
      </c>
      <c r="AM87" s="6">
        <f t="shared" si="10"/>
        <v>-1.2253097345132731</v>
      </c>
      <c r="AN87" s="6">
        <f t="shared" si="11"/>
        <v>-11.164336283185824</v>
      </c>
      <c r="AO87" s="6">
        <f t="shared" si="12"/>
        <v>-1.1164336283185823</v>
      </c>
      <c r="AQ87" s="6">
        <v>21</v>
      </c>
      <c r="AR87" s="6">
        <v>0.751293103448188</v>
      </c>
      <c r="AS87" s="6">
        <f t="shared" si="13"/>
        <v>-0.751293103448188</v>
      </c>
      <c r="AT87" s="6">
        <f t="shared" si="14"/>
        <v>8.9655965819842667</v>
      </c>
      <c r="AU87" s="6">
        <f t="shared" si="15"/>
        <v>0.89655965819842665</v>
      </c>
      <c r="AW87" s="6">
        <v>21</v>
      </c>
      <c r="AX87" s="6">
        <v>0.34155172413793067</v>
      </c>
      <c r="AY87" s="6">
        <f t="shared" si="16"/>
        <v>-0.34155172413793067</v>
      </c>
      <c r="AZ87" s="6">
        <f t="shared" si="17"/>
        <v>3.8039655172413811</v>
      </c>
      <c r="BA87" s="6">
        <f t="shared" si="18"/>
        <v>0.38039655172413811</v>
      </c>
    </row>
    <row r="88" spans="24:53" x14ac:dyDescent="0.25">
      <c r="X88" s="11">
        <v>22</v>
      </c>
      <c r="Y88" s="13"/>
      <c r="Z88" s="6">
        <f t="shared" si="7"/>
        <v>0</v>
      </c>
      <c r="AB88" s="11" t="s">
        <v>228</v>
      </c>
      <c r="AC88" s="13"/>
      <c r="AD88" s="6">
        <f t="shared" si="8"/>
        <v>0</v>
      </c>
      <c r="AF88" s="11" t="s">
        <v>228</v>
      </c>
      <c r="AG88" s="13"/>
      <c r="AH88" s="6">
        <f t="shared" si="9"/>
        <v>0</v>
      </c>
      <c r="AK88" s="6">
        <v>22</v>
      </c>
      <c r="AL88" s="6">
        <v>0.52513274336283133</v>
      </c>
      <c r="AM88" s="6">
        <f t="shared" si="10"/>
        <v>-0.52513274336283133</v>
      </c>
      <c r="AN88" s="6">
        <f t="shared" si="11"/>
        <v>-11.689469026548656</v>
      </c>
      <c r="AO88" s="6">
        <f t="shared" si="12"/>
        <v>-1.1689469026548656</v>
      </c>
      <c r="AQ88" s="6">
        <v>22</v>
      </c>
      <c r="AR88" s="6">
        <v>0.32198275862065201</v>
      </c>
      <c r="AS88" s="6">
        <f t="shared" si="13"/>
        <v>-0.32198275862065201</v>
      </c>
      <c r="AT88" s="6">
        <f t="shared" si="14"/>
        <v>8.6436138233636139</v>
      </c>
      <c r="AU88" s="6">
        <f t="shared" si="15"/>
        <v>0.86436138233636139</v>
      </c>
      <c r="AW88" s="6">
        <v>22</v>
      </c>
      <c r="AX88" s="6">
        <v>0.14637931034482743</v>
      </c>
      <c r="AY88" s="6">
        <f t="shared" si="16"/>
        <v>-0.14637931034482743</v>
      </c>
      <c r="AZ88" s="6">
        <f t="shared" si="17"/>
        <v>3.6575862068965534</v>
      </c>
      <c r="BA88" s="6">
        <f t="shared" si="18"/>
        <v>0.36575862068965537</v>
      </c>
    </row>
    <row r="89" spans="24:53" x14ac:dyDescent="0.25">
      <c r="X89" s="11">
        <v>23</v>
      </c>
      <c r="Y89" s="13"/>
      <c r="Z89" s="6">
        <f t="shared" si="7"/>
        <v>0</v>
      </c>
      <c r="AB89" s="11" t="s">
        <v>229</v>
      </c>
      <c r="AC89" s="13"/>
      <c r="AD89" s="6">
        <f t="shared" si="8"/>
        <v>0</v>
      </c>
      <c r="AF89" s="11" t="s">
        <v>229</v>
      </c>
      <c r="AG89" s="13"/>
      <c r="AH89" s="6">
        <f t="shared" si="9"/>
        <v>0</v>
      </c>
      <c r="AK89" s="6">
        <v>23</v>
      </c>
      <c r="AL89" s="6">
        <v>0.35008849557522093</v>
      </c>
      <c r="AM89" s="6">
        <f t="shared" si="10"/>
        <v>-0.35008849557522093</v>
      </c>
      <c r="AN89" s="6">
        <f t="shared" si="11"/>
        <v>-12.039557522123877</v>
      </c>
      <c r="AO89" s="6">
        <f t="shared" si="12"/>
        <v>-1.2039557522123876</v>
      </c>
      <c r="AQ89" s="6">
        <v>23</v>
      </c>
      <c r="AR89" s="6">
        <v>0.21465517241376803</v>
      </c>
      <c r="AS89" s="6">
        <f t="shared" si="13"/>
        <v>-0.21465517241376803</v>
      </c>
      <c r="AT89" s="6">
        <f t="shared" si="14"/>
        <v>8.4289586509498466</v>
      </c>
      <c r="AU89" s="6">
        <f t="shared" si="15"/>
        <v>0.84289586509498471</v>
      </c>
      <c r="AW89" s="6">
        <v>23</v>
      </c>
      <c r="AX89" s="6">
        <v>9.7586206896551633E-2</v>
      </c>
      <c r="AY89" s="6">
        <f t="shared" si="16"/>
        <v>-9.7586206896551633E-2</v>
      </c>
      <c r="AZ89" s="6">
        <f t="shared" si="17"/>
        <v>3.5600000000000018</v>
      </c>
      <c r="BA89" s="6">
        <f t="shared" si="18"/>
        <v>0.35600000000000021</v>
      </c>
    </row>
    <row r="90" spans="24:53" x14ac:dyDescent="0.25">
      <c r="X90" s="6"/>
      <c r="Y90" s="6"/>
      <c r="Z90" s="6">
        <f>SUM(Z66:Z89)</f>
        <v>6.5800000000000018</v>
      </c>
      <c r="AB90" s="6"/>
      <c r="AC90" s="6"/>
      <c r="AD90" s="6">
        <f>SUM(AD66:AD89)</f>
        <v>20.479999999743256</v>
      </c>
      <c r="AF90" s="6"/>
      <c r="AG90" s="6"/>
      <c r="AH90" s="6">
        <f>SUM(AH66:AH89)</f>
        <v>19.709999999999997</v>
      </c>
      <c r="AM90">
        <f>SUM(AM66:AM89)</f>
        <v>-12.039557522123877</v>
      </c>
      <c r="AR90">
        <f>SUM(AR66:AR89)</f>
        <v>12.051041348793412</v>
      </c>
      <c r="AS90">
        <f>SUM(AS66:AS89)</f>
        <v>8.4289586509498466</v>
      </c>
      <c r="AW90" s="6" t="s">
        <v>166</v>
      </c>
      <c r="AX90" s="6">
        <f>SUM(AX66:AX89)</f>
        <v>16.149999999999995</v>
      </c>
      <c r="AY90" s="6">
        <f>SUM(AY66:AY89)</f>
        <v>3.5600000000000018</v>
      </c>
      <c r="AZ90" s="6">
        <f>MAX(AZ65:AZ89)</f>
        <v>4.9371085114337623</v>
      </c>
      <c r="BA90" s="6"/>
    </row>
  </sheetData>
  <mergeCells count="15">
    <mergeCell ref="AK64:AL64"/>
    <mergeCell ref="AQ64:AR64"/>
    <mergeCell ref="AW64:AX64"/>
    <mergeCell ref="AB4:AD4"/>
    <mergeCell ref="AB34:AD34"/>
    <mergeCell ref="AB64:AD64"/>
    <mergeCell ref="AF4:AH4"/>
    <mergeCell ref="AF34:AH34"/>
    <mergeCell ref="AF64:AH64"/>
    <mergeCell ref="X64:Z64"/>
    <mergeCell ref="G4:I4"/>
    <mergeCell ref="G21:I21"/>
    <mergeCell ref="G39:I39"/>
    <mergeCell ref="X4:Z4"/>
    <mergeCell ref="X34:Z34"/>
  </mergeCells>
  <pageMargins left="0.7" right="0.7" top="0.78740157499999996" bottom="0.78740157499999996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D3277-4CA4-4139-9349-AEA4A7A64E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Tepelné ztráty, vaření</vt:lpstr>
      <vt:lpstr>Seznam spotřebičů, zatížení</vt:lpstr>
      <vt:lpstr>Přehled dotačních možností</vt:lpstr>
      <vt:lpstr>Kotel na pelety</vt:lpstr>
      <vt:lpstr>Tepelné čerpadlo</vt:lpstr>
      <vt:lpstr>Vyhodnocení</vt:lpstr>
      <vt:lpstr>Distribuční sazby</vt:lpstr>
      <vt:lpstr>Solární panely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Marek Havelka</cp:lastModifiedBy>
  <cp:revision/>
  <dcterms:created xsi:type="dcterms:W3CDTF">2021-12-05T18:23:21Z</dcterms:created>
  <dcterms:modified xsi:type="dcterms:W3CDTF">2022-05-19T23:26:36Z</dcterms:modified>
  <cp:category/>
  <cp:contentStatus/>
</cp:coreProperties>
</file>