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s\Documents\FEL\Individuální projekt\"/>
    </mc:Choice>
  </mc:AlternateContent>
  <bookViews>
    <workbookView xWindow="0" yWindow="0" windowWidth="23040" windowHeight="9384" firstSheet="2" activeTab="2"/>
  </bookViews>
  <sheets>
    <sheet name="Mini SWASH II - Náklady" sheetId="2" r:id="rId1"/>
    <sheet name="Mini SWASH II - Kalkulace P1" sheetId="3" state="hidden" r:id="rId2"/>
    <sheet name="Mini SWASH II - Kalkulace" sheetId="4" r:id="rId3"/>
    <sheet name="INJET 388-CRD - Náklady" sheetId="5" r:id="rId4"/>
    <sheet name="INJET 388-CRD - Kalkulace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4" i="4" l="1"/>
  <c r="Y23" i="6"/>
  <c r="AA29" i="6" l="1"/>
  <c r="V30" i="4"/>
  <c r="AA28" i="6" l="1"/>
  <c r="AA27" i="6"/>
  <c r="V29" i="4"/>
  <c r="V28" i="4" l="1"/>
  <c r="F75" i="6" l="1"/>
  <c r="G75" i="6"/>
  <c r="H75" i="6"/>
  <c r="I75" i="6"/>
  <c r="J75" i="6" s="1"/>
  <c r="K75" i="6" s="1"/>
  <c r="L75" i="6" s="1"/>
  <c r="M75" i="6" s="1"/>
  <c r="N75" i="6" s="1"/>
  <c r="O75" i="6" s="1"/>
  <c r="P75" i="6" s="1"/>
  <c r="Q75" i="6" s="1"/>
  <c r="R75" i="6" s="1"/>
  <c r="E75" i="6"/>
  <c r="D75" i="6"/>
  <c r="F67" i="6"/>
  <c r="G67" i="6"/>
  <c r="H67" i="6" s="1"/>
  <c r="I67" i="6" s="1"/>
  <c r="J67" i="6" s="1"/>
  <c r="K67" i="6" s="1"/>
  <c r="L67" i="6" s="1"/>
  <c r="M67" i="6" s="1"/>
  <c r="N67" i="6" s="1"/>
  <c r="O67" i="6" s="1"/>
  <c r="P67" i="6" s="1"/>
  <c r="Q67" i="6" s="1"/>
  <c r="R67" i="6" s="1"/>
  <c r="E67" i="6"/>
  <c r="D67" i="6"/>
  <c r="F63" i="6"/>
  <c r="G63" i="6"/>
  <c r="H63" i="6" s="1"/>
  <c r="I63" i="6" s="1"/>
  <c r="J63" i="6" s="1"/>
  <c r="K63" i="6" s="1"/>
  <c r="L63" i="6" s="1"/>
  <c r="M63" i="6" s="1"/>
  <c r="N63" i="6" s="1"/>
  <c r="O63" i="6" s="1"/>
  <c r="P63" i="6" s="1"/>
  <c r="Q63" i="6" s="1"/>
  <c r="R63" i="6" s="1"/>
  <c r="E63" i="6"/>
  <c r="D63" i="6"/>
  <c r="F62" i="4"/>
  <c r="G62" i="4"/>
  <c r="H62" i="4" s="1"/>
  <c r="I62" i="4" s="1"/>
  <c r="J62" i="4" s="1"/>
  <c r="K62" i="4" s="1"/>
  <c r="L62" i="4" s="1"/>
  <c r="M62" i="4" s="1"/>
  <c r="E62" i="4"/>
  <c r="D62" i="4"/>
  <c r="F61" i="4"/>
  <c r="G61" i="4"/>
  <c r="H61" i="4"/>
  <c r="I61" i="4"/>
  <c r="J61" i="4" s="1"/>
  <c r="K61" i="4" s="1"/>
  <c r="L61" i="4" s="1"/>
  <c r="M61" i="4" s="1"/>
  <c r="E61" i="4"/>
  <c r="D61" i="4"/>
  <c r="F73" i="4"/>
  <c r="G73" i="4"/>
  <c r="H73" i="4" s="1"/>
  <c r="I73" i="4" s="1"/>
  <c r="J73" i="4" s="1"/>
  <c r="K73" i="4" s="1"/>
  <c r="L73" i="4" s="1"/>
  <c r="M73" i="4" s="1"/>
  <c r="E73" i="4"/>
  <c r="D73" i="4"/>
  <c r="F65" i="4"/>
  <c r="G65" i="4" s="1"/>
  <c r="H65" i="4" s="1"/>
  <c r="I65" i="4" s="1"/>
  <c r="J65" i="4" s="1"/>
  <c r="K65" i="4" s="1"/>
  <c r="L65" i="4" s="1"/>
  <c r="M65" i="4" s="1"/>
  <c r="E65" i="4"/>
  <c r="D65" i="4"/>
  <c r="F80" i="6" l="1"/>
  <c r="G80" i="6"/>
  <c r="H80" i="6" s="1"/>
  <c r="I80" i="6" s="1"/>
  <c r="J80" i="6" s="1"/>
  <c r="K80" i="6" s="1"/>
  <c r="L80" i="6" s="1"/>
  <c r="M80" i="6" s="1"/>
  <c r="N80" i="6" s="1"/>
  <c r="O80" i="6" s="1"/>
  <c r="P80" i="6" s="1"/>
  <c r="Q80" i="6" s="1"/>
  <c r="R80" i="6" s="1"/>
  <c r="E80" i="6"/>
  <c r="D80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D79" i="6"/>
  <c r="F72" i="6"/>
  <c r="G72" i="6"/>
  <c r="H72" i="6" s="1"/>
  <c r="I72" i="6" s="1"/>
  <c r="J72" i="6" s="1"/>
  <c r="K72" i="6" s="1"/>
  <c r="L72" i="6" s="1"/>
  <c r="M72" i="6" s="1"/>
  <c r="N72" i="6" s="1"/>
  <c r="O72" i="6" s="1"/>
  <c r="P72" i="6" s="1"/>
  <c r="Q72" i="6" s="1"/>
  <c r="R72" i="6" s="1"/>
  <c r="E72" i="6"/>
  <c r="D72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D71" i="6"/>
  <c r="N70" i="6"/>
  <c r="O70" i="6"/>
  <c r="P70" i="6"/>
  <c r="Q70" i="6"/>
  <c r="R70" i="6" s="1"/>
  <c r="H32" i="6"/>
  <c r="N78" i="6"/>
  <c r="O78" i="6" s="1"/>
  <c r="P78" i="6" s="1"/>
  <c r="Q78" i="6" s="1"/>
  <c r="R78" i="6" s="1"/>
  <c r="D78" i="6"/>
  <c r="E78" i="6" s="1"/>
  <c r="F78" i="6" s="1"/>
  <c r="G78" i="6" s="1"/>
  <c r="H78" i="6" s="1"/>
  <c r="I78" i="6" s="1"/>
  <c r="J78" i="6" s="1"/>
  <c r="K78" i="6" s="1"/>
  <c r="L78" i="6" s="1"/>
  <c r="M78" i="6" s="1"/>
  <c r="D70" i="6"/>
  <c r="E70" i="6" s="1"/>
  <c r="F70" i="6" s="1"/>
  <c r="G70" i="6" s="1"/>
  <c r="H70" i="6" s="1"/>
  <c r="I70" i="6" s="1"/>
  <c r="J70" i="6" s="1"/>
  <c r="K70" i="6" s="1"/>
  <c r="L70" i="6" s="1"/>
  <c r="M70" i="6" s="1"/>
  <c r="J40" i="6"/>
  <c r="F76" i="4"/>
  <c r="G76" i="4"/>
  <c r="H76" i="4" s="1"/>
  <c r="I76" i="4" s="1"/>
  <c r="J76" i="4" s="1"/>
  <c r="K76" i="4" s="1"/>
  <c r="L76" i="4" s="1"/>
  <c r="M76" i="4" s="1"/>
  <c r="E76" i="4"/>
  <c r="D76" i="4"/>
  <c r="E68" i="4"/>
  <c r="F68" i="4" s="1"/>
  <c r="G68" i="4" s="1"/>
  <c r="H68" i="4" s="1"/>
  <c r="I68" i="4" s="1"/>
  <c r="J68" i="4" s="1"/>
  <c r="K68" i="4" s="1"/>
  <c r="L68" i="4" s="1"/>
  <c r="M68" i="4" s="1"/>
  <c r="D68" i="4"/>
  <c r="E12" i="4"/>
  <c r="E43" i="6" l="1"/>
  <c r="F43" i="6"/>
  <c r="G43" i="6"/>
  <c r="H43" i="6"/>
  <c r="D43" i="6"/>
  <c r="M34" i="6"/>
  <c r="N34" i="6"/>
  <c r="O34" i="6"/>
  <c r="P34" i="6"/>
  <c r="Q34" i="6"/>
  <c r="L34" i="6"/>
  <c r="M32" i="6"/>
  <c r="L32" i="6"/>
  <c r="K32" i="6"/>
  <c r="C46" i="6"/>
  <c r="F26" i="6"/>
  <c r="G26" i="6"/>
  <c r="H26" i="6"/>
  <c r="E26" i="6"/>
  <c r="D26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D25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D23" i="6"/>
  <c r="D8" i="6" l="1"/>
  <c r="D20" i="6" s="1"/>
  <c r="D7" i="6"/>
  <c r="D19" i="6" s="1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D17" i="6"/>
  <c r="D15" i="6"/>
  <c r="I13" i="6"/>
  <c r="G13" i="6"/>
  <c r="H13" i="6"/>
  <c r="F13" i="6"/>
  <c r="D10" i="6"/>
  <c r="D10" i="4"/>
  <c r="D21" i="4" s="1"/>
  <c r="D9" i="6"/>
  <c r="E9" i="6" s="1"/>
  <c r="F9" i="6" s="1"/>
  <c r="G9" i="6" s="1"/>
  <c r="H9" i="6" s="1"/>
  <c r="I9" i="6" s="1"/>
  <c r="J9" i="6" s="1"/>
  <c r="K9" i="6" s="1"/>
  <c r="L9" i="6" s="1"/>
  <c r="M9" i="6" s="1"/>
  <c r="N9" i="6" s="1"/>
  <c r="O9" i="6" s="1"/>
  <c r="P9" i="6" s="1"/>
  <c r="Q9" i="6" s="1"/>
  <c r="R9" i="6" s="1"/>
  <c r="R21" i="6" s="1"/>
  <c r="E7" i="6"/>
  <c r="F7" i="6" s="1"/>
  <c r="G7" i="6" s="1"/>
  <c r="H7" i="6" s="1"/>
  <c r="I7" i="6" s="1"/>
  <c r="J7" i="6" s="1"/>
  <c r="K7" i="6" s="1"/>
  <c r="L7" i="6" s="1"/>
  <c r="M7" i="6" s="1"/>
  <c r="N7" i="6" s="1"/>
  <c r="O7" i="6" s="1"/>
  <c r="P7" i="6" s="1"/>
  <c r="Q7" i="6" s="1"/>
  <c r="R7" i="6" s="1"/>
  <c r="R19" i="6" s="1"/>
  <c r="D6" i="6"/>
  <c r="E6" i="6" s="1"/>
  <c r="E13" i="6"/>
  <c r="E12" i="6"/>
  <c r="F12" i="6" s="1"/>
  <c r="G12" i="6" s="1"/>
  <c r="H12" i="6" s="1"/>
  <c r="I12" i="6" s="1"/>
  <c r="J12" i="6" s="1"/>
  <c r="K12" i="6" s="1"/>
  <c r="L12" i="6" s="1"/>
  <c r="M12" i="6" s="1"/>
  <c r="M15" i="6" s="1"/>
  <c r="J12" i="2"/>
  <c r="J11" i="5"/>
  <c r="J10" i="5"/>
  <c r="J9" i="5"/>
  <c r="J8" i="5"/>
  <c r="J6" i="5"/>
  <c r="J14" i="2"/>
  <c r="J14" i="5"/>
  <c r="J15" i="5"/>
  <c r="J13" i="5"/>
  <c r="J12" i="5"/>
  <c r="J7" i="5"/>
  <c r="J5" i="5"/>
  <c r="J4" i="5"/>
  <c r="I19" i="6" l="1"/>
  <c r="J19" i="6"/>
  <c r="D21" i="6"/>
  <c r="Q19" i="6"/>
  <c r="P21" i="6"/>
  <c r="N19" i="6"/>
  <c r="F19" i="6"/>
  <c r="L21" i="6"/>
  <c r="M19" i="6"/>
  <c r="E19" i="6"/>
  <c r="H21" i="6"/>
  <c r="E8" i="6"/>
  <c r="O21" i="6"/>
  <c r="K21" i="6"/>
  <c r="G21" i="6"/>
  <c r="P19" i="6"/>
  <c r="L19" i="6"/>
  <c r="H19" i="6"/>
  <c r="N21" i="6"/>
  <c r="J21" i="6"/>
  <c r="F21" i="6"/>
  <c r="E10" i="6"/>
  <c r="D22" i="6"/>
  <c r="D18" i="6"/>
  <c r="D24" i="6" s="1"/>
  <c r="O19" i="6"/>
  <c r="K19" i="6"/>
  <c r="G19" i="6"/>
  <c r="Q21" i="6"/>
  <c r="M21" i="6"/>
  <c r="I21" i="6"/>
  <c r="E21" i="6"/>
  <c r="F15" i="6"/>
  <c r="E15" i="6"/>
  <c r="N12" i="6"/>
  <c r="J15" i="6"/>
  <c r="I15" i="6"/>
  <c r="L15" i="6"/>
  <c r="H15" i="6"/>
  <c r="K15" i="6"/>
  <c r="G15" i="6"/>
  <c r="F6" i="6"/>
  <c r="E18" i="6"/>
  <c r="J13" i="6"/>
  <c r="K13" i="6" s="1"/>
  <c r="L13" i="6" s="1"/>
  <c r="M13" i="6" s="1"/>
  <c r="N13" i="6" s="1"/>
  <c r="O13" i="6" s="1"/>
  <c r="P13" i="6" s="1"/>
  <c r="Q13" i="6" s="1"/>
  <c r="R13" i="6" s="1"/>
  <c r="J16" i="5"/>
  <c r="D27" i="6" l="1"/>
  <c r="D46" i="6"/>
  <c r="F10" i="6"/>
  <c r="E22" i="6"/>
  <c r="F8" i="6"/>
  <c r="E20" i="6"/>
  <c r="N15" i="6"/>
  <c r="O12" i="6"/>
  <c r="G6" i="6"/>
  <c r="F18" i="6"/>
  <c r="I13" i="5"/>
  <c r="I9" i="5"/>
  <c r="I5" i="5"/>
  <c r="I14" i="5"/>
  <c r="I10" i="5"/>
  <c r="I6" i="5"/>
  <c r="I15" i="5"/>
  <c r="I11" i="5"/>
  <c r="I7" i="5"/>
  <c r="I8" i="5"/>
  <c r="I4" i="5"/>
  <c r="I12" i="5"/>
  <c r="AM13" i="4"/>
  <c r="AM12" i="4"/>
  <c r="AM11" i="4"/>
  <c r="AM10" i="4"/>
  <c r="AM9" i="4"/>
  <c r="AM8" i="4"/>
  <c r="AL13" i="4"/>
  <c r="AL12" i="4"/>
  <c r="AL11" i="4"/>
  <c r="AL10" i="4"/>
  <c r="AL9" i="4"/>
  <c r="AL8" i="4"/>
  <c r="Z30" i="4"/>
  <c r="AA29" i="4"/>
  <c r="AB29" i="4" s="1"/>
  <c r="AC29" i="4" s="1"/>
  <c r="AD29" i="4" s="1"/>
  <c r="AE29" i="4" s="1"/>
  <c r="AF29" i="4" s="1"/>
  <c r="AG29" i="4" s="1"/>
  <c r="AH29" i="4" s="1"/>
  <c r="AI29" i="4" s="1"/>
  <c r="AA28" i="4"/>
  <c r="AB28" i="4" s="1"/>
  <c r="AC28" i="4" s="1"/>
  <c r="AD28" i="4" s="1"/>
  <c r="AE28" i="4" s="1"/>
  <c r="AF28" i="4" s="1"/>
  <c r="AG28" i="4" s="1"/>
  <c r="AH28" i="4" s="1"/>
  <c r="AI28" i="4" s="1"/>
  <c r="AI30" i="4" s="1"/>
  <c r="Z26" i="4"/>
  <c r="AA25" i="4"/>
  <c r="AA24" i="4"/>
  <c r="AB24" i="4" s="1"/>
  <c r="AC24" i="4" s="1"/>
  <c r="AD24" i="4" s="1"/>
  <c r="AE24" i="4" s="1"/>
  <c r="AF24" i="4" s="1"/>
  <c r="AG24" i="4" s="1"/>
  <c r="AH24" i="4" s="1"/>
  <c r="AI24" i="4" s="1"/>
  <c r="Z22" i="4"/>
  <c r="AA21" i="4"/>
  <c r="AB21" i="4" s="1"/>
  <c r="AC21" i="4" s="1"/>
  <c r="AD21" i="4" s="1"/>
  <c r="AE21" i="4" s="1"/>
  <c r="AA20" i="4"/>
  <c r="Z18" i="4"/>
  <c r="AA17" i="4"/>
  <c r="AB17" i="4" s="1"/>
  <c r="AA16" i="4"/>
  <c r="AB16" i="4" s="1"/>
  <c r="AC16" i="4" s="1"/>
  <c r="AD16" i="4" s="1"/>
  <c r="AE16" i="4" s="1"/>
  <c r="AF16" i="4" s="1"/>
  <c r="AG16" i="4" s="1"/>
  <c r="AH16" i="4" s="1"/>
  <c r="AI16" i="4" s="1"/>
  <c r="AA13" i="4"/>
  <c r="AB13" i="4" s="1"/>
  <c r="AA12" i="4"/>
  <c r="AB12" i="4" s="1"/>
  <c r="AA8" i="4"/>
  <c r="AB8" i="4" s="1"/>
  <c r="AC8" i="4" s="1"/>
  <c r="AD8" i="4" s="1"/>
  <c r="AE8" i="4" s="1"/>
  <c r="AF8" i="4" s="1"/>
  <c r="AG8" i="4" s="1"/>
  <c r="AH8" i="4" s="1"/>
  <c r="AI8" i="4" s="1"/>
  <c r="AI10" i="4" s="1"/>
  <c r="Z14" i="4"/>
  <c r="Z15" i="4"/>
  <c r="Z19" i="4" s="1"/>
  <c r="Z23" i="4" s="1"/>
  <c r="Z27" i="4" s="1"/>
  <c r="Z31" i="4" s="1"/>
  <c r="V18" i="3"/>
  <c r="Z10" i="4"/>
  <c r="D47" i="6" l="1"/>
  <c r="D48" i="6"/>
  <c r="D49" i="6" s="1"/>
  <c r="E49" i="6" s="1"/>
  <c r="D29" i="6"/>
  <c r="D31" i="6" s="1"/>
  <c r="D64" i="6"/>
  <c r="E24" i="6"/>
  <c r="E46" i="6" s="1"/>
  <c r="E48" i="6" s="1"/>
  <c r="E27" i="6"/>
  <c r="E29" i="6" s="1"/>
  <c r="E31" i="6" s="1"/>
  <c r="G10" i="6"/>
  <c r="F22" i="6"/>
  <c r="G8" i="6"/>
  <c r="F20" i="6"/>
  <c r="AA22" i="4"/>
  <c r="P12" i="6"/>
  <c r="O15" i="6"/>
  <c r="H6" i="6"/>
  <c r="G18" i="6"/>
  <c r="I16" i="5"/>
  <c r="AG30" i="4"/>
  <c r="AF30" i="4"/>
  <c r="AB30" i="4"/>
  <c r="AC30" i="4"/>
  <c r="AE30" i="4"/>
  <c r="AA30" i="4"/>
  <c r="AH30" i="4"/>
  <c r="AD30" i="4"/>
  <c r="AB25" i="4"/>
  <c r="AA26" i="4"/>
  <c r="AB20" i="4"/>
  <c r="AC17" i="4"/>
  <c r="AB18" i="4"/>
  <c r="AA18" i="4"/>
  <c r="AC13" i="4"/>
  <c r="AD13" i="4" s="1"/>
  <c r="AA14" i="4"/>
  <c r="AB14" i="4"/>
  <c r="AC12" i="4"/>
  <c r="AA10" i="4"/>
  <c r="E47" i="6" l="1"/>
  <c r="E64" i="6"/>
  <c r="D33" i="6"/>
  <c r="E33" i="6" s="1"/>
  <c r="F33" i="6" s="1"/>
  <c r="G33" i="6" s="1"/>
  <c r="H33" i="6" s="1"/>
  <c r="I32" i="6" s="1"/>
  <c r="D44" i="6"/>
  <c r="F24" i="6"/>
  <c r="F27" i="6" s="1"/>
  <c r="F29" i="6" s="1"/>
  <c r="F31" i="6" s="1"/>
  <c r="H10" i="6"/>
  <c r="G22" i="6"/>
  <c r="H8" i="6"/>
  <c r="G20" i="6"/>
  <c r="G24" i="6" s="1"/>
  <c r="E44" i="6"/>
  <c r="E35" i="6"/>
  <c r="F35" i="6" s="1"/>
  <c r="G35" i="6" s="1"/>
  <c r="H35" i="6" s="1"/>
  <c r="Q12" i="6"/>
  <c r="P15" i="6"/>
  <c r="I6" i="6"/>
  <c r="H18" i="6"/>
  <c r="AC25" i="4"/>
  <c r="AB26" i="4"/>
  <c r="AC20" i="4"/>
  <c r="AB22" i="4"/>
  <c r="AD17" i="4"/>
  <c r="AC18" i="4"/>
  <c r="AE13" i="4"/>
  <c r="AF13" i="4" s="1"/>
  <c r="AG13" i="4" s="1"/>
  <c r="AH13" i="4" s="1"/>
  <c r="AI13" i="4" s="1"/>
  <c r="AC14" i="4"/>
  <c r="AD12" i="4"/>
  <c r="AB10" i="4"/>
  <c r="F12" i="4"/>
  <c r="F21" i="3"/>
  <c r="E10" i="3"/>
  <c r="F46" i="6" l="1"/>
  <c r="F48" i="6" s="1"/>
  <c r="F49" i="6" s="1"/>
  <c r="I33" i="6"/>
  <c r="J33" i="6" s="1"/>
  <c r="K33" i="6" s="1"/>
  <c r="L33" i="6" s="1"/>
  <c r="M33" i="6" s="1"/>
  <c r="N33" i="6" s="1"/>
  <c r="O33" i="6" s="1"/>
  <c r="P33" i="6" s="1"/>
  <c r="Q33" i="6" s="1"/>
  <c r="R33" i="6" s="1"/>
  <c r="F64" i="6"/>
  <c r="G27" i="6"/>
  <c r="G29" i="6" s="1"/>
  <c r="G31" i="6" s="1"/>
  <c r="G46" i="6"/>
  <c r="G48" i="6" s="1"/>
  <c r="I8" i="6"/>
  <c r="H20" i="6"/>
  <c r="I10" i="6"/>
  <c r="H22" i="6"/>
  <c r="F44" i="6"/>
  <c r="F37" i="6"/>
  <c r="G37" i="6" s="1"/>
  <c r="H37" i="6" s="1"/>
  <c r="I37" i="6" s="1"/>
  <c r="R12" i="6"/>
  <c r="R15" i="6" s="1"/>
  <c r="Q15" i="6"/>
  <c r="J6" i="6"/>
  <c r="I18" i="6"/>
  <c r="AD25" i="4"/>
  <c r="AC26" i="4"/>
  <c r="AD20" i="4"/>
  <c r="AC22" i="4"/>
  <c r="AE17" i="4"/>
  <c r="AD18" i="4"/>
  <c r="AE12" i="4"/>
  <c r="AD14" i="4"/>
  <c r="AC10" i="4"/>
  <c r="G12" i="4"/>
  <c r="V28" i="3"/>
  <c r="W28" i="3" s="1"/>
  <c r="X28" i="3" s="1"/>
  <c r="Y28" i="3" s="1"/>
  <c r="Z28" i="3" s="1"/>
  <c r="V25" i="3"/>
  <c r="W25" i="3" s="1"/>
  <c r="X25" i="3" s="1"/>
  <c r="Y25" i="3" s="1"/>
  <c r="Z25" i="3" s="1"/>
  <c r="V22" i="3"/>
  <c r="W22" i="3" s="1"/>
  <c r="X22" i="3" s="1"/>
  <c r="Y22" i="3" s="1"/>
  <c r="Z22" i="3" s="1"/>
  <c r="Z23" i="3" s="1"/>
  <c r="V19" i="3"/>
  <c r="W19" i="3" s="1"/>
  <c r="X19" i="3" s="1"/>
  <c r="Y19" i="3" s="1"/>
  <c r="Z19" i="3" s="1"/>
  <c r="V16" i="3"/>
  <c r="V17" i="3" s="1"/>
  <c r="V14" i="3"/>
  <c r="W14" i="3"/>
  <c r="X14" i="3"/>
  <c r="Y14" i="3"/>
  <c r="Z14" i="3"/>
  <c r="AA14" i="3"/>
  <c r="AB14" i="3"/>
  <c r="AC14" i="3"/>
  <c r="AD14" i="3"/>
  <c r="U14" i="3"/>
  <c r="U29" i="3"/>
  <c r="U23" i="3"/>
  <c r="U17" i="3"/>
  <c r="G49" i="6" l="1"/>
  <c r="F47" i="6"/>
  <c r="G47" i="6" s="1"/>
  <c r="G64" i="6"/>
  <c r="H24" i="6"/>
  <c r="H27" i="6" s="1"/>
  <c r="J10" i="6"/>
  <c r="I22" i="6"/>
  <c r="G44" i="6"/>
  <c r="G39" i="6"/>
  <c r="H39" i="6" s="1"/>
  <c r="I39" i="6" s="1"/>
  <c r="J39" i="6" s="1"/>
  <c r="J8" i="6"/>
  <c r="I20" i="6"/>
  <c r="I24" i="6" s="1"/>
  <c r="K6" i="6"/>
  <c r="J18" i="6"/>
  <c r="AF17" i="4"/>
  <c r="AE25" i="4"/>
  <c r="AD26" i="4"/>
  <c r="AE20" i="4"/>
  <c r="AD22" i="4"/>
  <c r="AE18" i="4"/>
  <c r="AE14" i="4"/>
  <c r="AF12" i="4"/>
  <c r="AD10" i="4"/>
  <c r="H12" i="4"/>
  <c r="V23" i="3"/>
  <c r="W16" i="3"/>
  <c r="X16" i="3" s="1"/>
  <c r="Y16" i="3" s="1"/>
  <c r="Z16" i="3" s="1"/>
  <c r="W29" i="3"/>
  <c r="AA22" i="3"/>
  <c r="Y23" i="3"/>
  <c r="V29" i="3"/>
  <c r="X23" i="3"/>
  <c r="W23" i="3"/>
  <c r="U26" i="3"/>
  <c r="V26" i="3"/>
  <c r="U20" i="3"/>
  <c r="H46" i="6" l="1"/>
  <c r="H48" i="6" s="1"/>
  <c r="H49" i="6" s="1"/>
  <c r="H29" i="6"/>
  <c r="H31" i="6" s="1"/>
  <c r="H44" i="6" s="1"/>
  <c r="H64" i="6"/>
  <c r="K10" i="6"/>
  <c r="J22" i="6"/>
  <c r="K8" i="6"/>
  <c r="J20" i="6"/>
  <c r="I27" i="6"/>
  <c r="I29" i="6" s="1"/>
  <c r="I31" i="6" s="1"/>
  <c r="I41" i="6"/>
  <c r="J41" i="6" s="1"/>
  <c r="K41" i="6" s="1"/>
  <c r="L40" i="6" s="1"/>
  <c r="L41" i="6" s="1"/>
  <c r="L6" i="6"/>
  <c r="K18" i="6"/>
  <c r="AG17" i="4"/>
  <c r="AH17" i="4" s="1"/>
  <c r="AI17" i="4" s="1"/>
  <c r="AF25" i="4"/>
  <c r="AE26" i="4"/>
  <c r="AF20" i="4"/>
  <c r="AE22" i="4"/>
  <c r="AF18" i="4"/>
  <c r="AG12" i="4"/>
  <c r="AF14" i="4"/>
  <c r="AE10" i="4"/>
  <c r="AF21" i="4"/>
  <c r="I12" i="4"/>
  <c r="W17" i="3"/>
  <c r="X17" i="3"/>
  <c r="Y17" i="3"/>
  <c r="AA23" i="3"/>
  <c r="AB22" i="3"/>
  <c r="X29" i="3"/>
  <c r="F25" i="4"/>
  <c r="G25" i="4"/>
  <c r="H25" i="4"/>
  <c r="E25" i="4"/>
  <c r="D25" i="4"/>
  <c r="F25" i="3"/>
  <c r="G25" i="3"/>
  <c r="H25" i="3"/>
  <c r="E25" i="3"/>
  <c r="D25" i="3"/>
  <c r="H47" i="6" l="1"/>
  <c r="J24" i="6"/>
  <c r="J27" i="6" s="1"/>
  <c r="J29" i="6" s="1"/>
  <c r="J31" i="6" s="1"/>
  <c r="J34" i="6" s="1"/>
  <c r="I64" i="6"/>
  <c r="J64" i="6" s="1"/>
  <c r="L8" i="6"/>
  <c r="K20" i="6"/>
  <c r="I34" i="6"/>
  <c r="I35" i="6" s="1"/>
  <c r="L10" i="6"/>
  <c r="K22" i="6"/>
  <c r="M6" i="6"/>
  <c r="L18" i="6"/>
  <c r="AG25" i="4"/>
  <c r="AF26" i="4"/>
  <c r="AG20" i="4"/>
  <c r="AF22" i="4"/>
  <c r="AG14" i="4"/>
  <c r="AH12" i="4"/>
  <c r="AF10" i="4"/>
  <c r="AG21" i="4"/>
  <c r="J12" i="4"/>
  <c r="Y29" i="3"/>
  <c r="Z17" i="3"/>
  <c r="AA16" i="3"/>
  <c r="AC22" i="3"/>
  <c r="AB23" i="3"/>
  <c r="V20" i="3"/>
  <c r="W26" i="3"/>
  <c r="D15" i="3"/>
  <c r="D15" i="4"/>
  <c r="J36" i="6" l="1"/>
  <c r="J37" i="6" s="1"/>
  <c r="K36" i="6" s="1"/>
  <c r="K24" i="6"/>
  <c r="K27" i="6" s="1"/>
  <c r="K29" i="6" s="1"/>
  <c r="K31" i="6" s="1"/>
  <c r="K38" i="6" s="1"/>
  <c r="I42" i="6"/>
  <c r="I43" i="6" s="1"/>
  <c r="I46" i="6" s="1"/>
  <c r="I48" i="6" s="1"/>
  <c r="I49" i="6" s="1"/>
  <c r="M8" i="6"/>
  <c r="L20" i="6"/>
  <c r="M10" i="6"/>
  <c r="L22" i="6"/>
  <c r="J35" i="6"/>
  <c r="K35" i="6" s="1"/>
  <c r="L35" i="6" s="1"/>
  <c r="M35" i="6" s="1"/>
  <c r="N35" i="6" s="1"/>
  <c r="O35" i="6" s="1"/>
  <c r="P35" i="6" s="1"/>
  <c r="Q35" i="6" s="1"/>
  <c r="N6" i="6"/>
  <c r="M18" i="6"/>
  <c r="AH25" i="4"/>
  <c r="AG26" i="4"/>
  <c r="AH20" i="4"/>
  <c r="AG22" i="4"/>
  <c r="AG18" i="4"/>
  <c r="AI12" i="4"/>
  <c r="AI14" i="4" s="1"/>
  <c r="AH14" i="4"/>
  <c r="AH10" i="4"/>
  <c r="AG10" i="4"/>
  <c r="AH21" i="4"/>
  <c r="K12" i="4"/>
  <c r="AD22" i="3"/>
  <c r="AD23" i="3" s="1"/>
  <c r="AC23" i="3"/>
  <c r="Z29" i="3"/>
  <c r="AA28" i="3"/>
  <c r="AA17" i="3"/>
  <c r="AB16" i="3"/>
  <c r="W20" i="3"/>
  <c r="X26" i="3"/>
  <c r="K37" i="6" l="1"/>
  <c r="L36" i="6" s="1"/>
  <c r="I44" i="6"/>
  <c r="I47" i="6"/>
  <c r="K39" i="6"/>
  <c r="L38" i="6" s="1"/>
  <c r="L39" i="6" s="1"/>
  <c r="M38" i="6" s="1"/>
  <c r="M39" i="6" s="1"/>
  <c r="J42" i="6"/>
  <c r="J43" i="6" s="1"/>
  <c r="J44" i="6" s="1"/>
  <c r="K42" i="6"/>
  <c r="K43" i="6" s="1"/>
  <c r="K44" i="6" s="1"/>
  <c r="K64" i="6"/>
  <c r="L37" i="6"/>
  <c r="M36" i="6" s="1"/>
  <c r="M37" i="6" s="1"/>
  <c r="L24" i="6"/>
  <c r="L27" i="6" s="1"/>
  <c r="L29" i="6" s="1"/>
  <c r="L31" i="6" s="1"/>
  <c r="N10" i="6"/>
  <c r="M22" i="6"/>
  <c r="N8" i="6"/>
  <c r="M20" i="6"/>
  <c r="O6" i="6"/>
  <c r="N18" i="6"/>
  <c r="AI25" i="4"/>
  <c r="AH26" i="4"/>
  <c r="AI20" i="4"/>
  <c r="AH22" i="4"/>
  <c r="AH18" i="4"/>
  <c r="AI21" i="4"/>
  <c r="L12" i="4"/>
  <c r="AC16" i="3"/>
  <c r="AB17" i="3"/>
  <c r="AB28" i="3"/>
  <c r="AA29" i="3"/>
  <c r="X20" i="3"/>
  <c r="Y26" i="3"/>
  <c r="K46" i="6" l="1"/>
  <c r="K48" i="6" s="1"/>
  <c r="L42" i="6"/>
  <c r="L43" i="6" s="1"/>
  <c r="L46" i="6" s="1"/>
  <c r="L48" i="6" s="1"/>
  <c r="J46" i="6"/>
  <c r="J48" i="6" s="1"/>
  <c r="J49" i="6" s="1"/>
  <c r="K49" i="6" s="1"/>
  <c r="L64" i="6"/>
  <c r="M24" i="6"/>
  <c r="M27" i="6" s="1"/>
  <c r="M29" i="6" s="1"/>
  <c r="M31" i="6" s="1"/>
  <c r="M42" i="6" s="1"/>
  <c r="M43" i="6" s="1"/>
  <c r="M46" i="6" s="1"/>
  <c r="M48" i="6" s="1"/>
  <c r="O10" i="6"/>
  <c r="N22" i="6"/>
  <c r="O8" i="6"/>
  <c r="N20" i="6"/>
  <c r="N24" i="6" s="1"/>
  <c r="N27" i="6" s="1"/>
  <c r="N29" i="6" s="1"/>
  <c r="N31" i="6" s="1"/>
  <c r="L44" i="6"/>
  <c r="P6" i="6"/>
  <c r="O18" i="6"/>
  <c r="AI22" i="4"/>
  <c r="AI26" i="4"/>
  <c r="AI18" i="4"/>
  <c r="M12" i="4"/>
  <c r="AB29" i="3"/>
  <c r="AC28" i="3"/>
  <c r="AC17" i="3"/>
  <c r="AD16" i="3"/>
  <c r="AD17" i="3" s="1"/>
  <c r="Y20" i="3"/>
  <c r="Z26" i="3"/>
  <c r="AA25" i="3"/>
  <c r="M24" i="4"/>
  <c r="L24" i="4"/>
  <c r="K24" i="4"/>
  <c r="J24" i="4"/>
  <c r="I24" i="4"/>
  <c r="H24" i="4"/>
  <c r="G24" i="4"/>
  <c r="F24" i="4"/>
  <c r="E24" i="4"/>
  <c r="D24" i="4"/>
  <c r="E13" i="4"/>
  <c r="F13" i="4" s="1"/>
  <c r="D5" i="4"/>
  <c r="E5" i="4" s="1"/>
  <c r="L49" i="6" l="1"/>
  <c r="M49" i="6" s="1"/>
  <c r="J47" i="6"/>
  <c r="K47" i="6" s="1"/>
  <c r="L47" i="6" s="1"/>
  <c r="M47" i="6" s="1"/>
  <c r="M64" i="6"/>
  <c r="N64" i="6" s="1"/>
  <c r="N42" i="6"/>
  <c r="N43" i="6" s="1"/>
  <c r="N46" i="6" s="1"/>
  <c r="N48" i="6" s="1"/>
  <c r="P10" i="6"/>
  <c r="O22" i="6"/>
  <c r="P8" i="6"/>
  <c r="O20" i="6"/>
  <c r="O24" i="6" s="1"/>
  <c r="O27" i="6" s="1"/>
  <c r="O29" i="6" s="1"/>
  <c r="O31" i="6" s="1"/>
  <c r="M44" i="6"/>
  <c r="Q6" i="6"/>
  <c r="P18" i="6"/>
  <c r="E15" i="4"/>
  <c r="F15" i="4"/>
  <c r="E10" i="4"/>
  <c r="AC29" i="3"/>
  <c r="AD28" i="3"/>
  <c r="AD29" i="3" s="1"/>
  <c r="AA19" i="3"/>
  <c r="Z20" i="3"/>
  <c r="AA26" i="3"/>
  <c r="AB25" i="3"/>
  <c r="G13" i="4"/>
  <c r="G15" i="4" s="1"/>
  <c r="N47" i="6" l="1"/>
  <c r="N49" i="6"/>
  <c r="O64" i="6"/>
  <c r="N44" i="6"/>
  <c r="Q8" i="6"/>
  <c r="P20" i="6"/>
  <c r="O42" i="6"/>
  <c r="O43" i="6" s="1"/>
  <c r="O46" i="6" s="1"/>
  <c r="O48" i="6" s="1"/>
  <c r="Q10" i="6"/>
  <c r="P22" i="6"/>
  <c r="R6" i="6"/>
  <c r="R18" i="6" s="1"/>
  <c r="Q18" i="6"/>
  <c r="AB19" i="3"/>
  <c r="AA20" i="3"/>
  <c r="AB26" i="3"/>
  <c r="AC25" i="3"/>
  <c r="E21" i="4"/>
  <c r="F10" i="4"/>
  <c r="H13" i="4"/>
  <c r="H15" i="4" s="1"/>
  <c r="O49" i="6" l="1"/>
  <c r="O47" i="6"/>
  <c r="P24" i="6"/>
  <c r="P27" i="6" s="1"/>
  <c r="P29" i="6" s="1"/>
  <c r="P31" i="6" s="1"/>
  <c r="P42" i="6" s="1"/>
  <c r="P43" i="6" s="1"/>
  <c r="P46" i="6" s="1"/>
  <c r="P48" i="6" s="1"/>
  <c r="O44" i="6"/>
  <c r="R10" i="6"/>
  <c r="R22" i="6" s="1"/>
  <c r="Q22" i="6"/>
  <c r="R8" i="6"/>
  <c r="R20" i="6" s="1"/>
  <c r="Q20" i="6"/>
  <c r="Q24" i="6" s="1"/>
  <c r="Q27" i="6" s="1"/>
  <c r="Q29" i="6" s="1"/>
  <c r="Q31" i="6" s="1"/>
  <c r="AC19" i="3"/>
  <c r="AB20" i="3"/>
  <c r="AD25" i="3"/>
  <c r="AD26" i="3" s="1"/>
  <c r="AC26" i="3"/>
  <c r="I13" i="4"/>
  <c r="I15" i="4" s="1"/>
  <c r="F21" i="4"/>
  <c r="G10" i="4"/>
  <c r="P47" i="6" l="1"/>
  <c r="P49" i="6"/>
  <c r="P64" i="6"/>
  <c r="Q64" i="6" s="1"/>
  <c r="R24" i="6"/>
  <c r="R27" i="6" s="1"/>
  <c r="R29" i="6" s="1"/>
  <c r="R31" i="6" s="1"/>
  <c r="R42" i="6" s="1"/>
  <c r="R43" i="6" s="1"/>
  <c r="R46" i="6" s="1"/>
  <c r="R48" i="6" s="1"/>
  <c r="P44" i="6"/>
  <c r="Q42" i="6"/>
  <c r="Q43" i="6" s="1"/>
  <c r="Q46" i="6" s="1"/>
  <c r="Q48" i="6" s="1"/>
  <c r="AD19" i="3"/>
  <c r="AD20" i="3" s="1"/>
  <c r="AC20" i="3"/>
  <c r="G21" i="4"/>
  <c r="H10" i="4"/>
  <c r="J13" i="4"/>
  <c r="J15" i="4" s="1"/>
  <c r="D10" i="3"/>
  <c r="E29" i="2"/>
  <c r="E24" i="3"/>
  <c r="F24" i="3"/>
  <c r="G24" i="3"/>
  <c r="H24" i="3"/>
  <c r="I24" i="3"/>
  <c r="J24" i="3"/>
  <c r="K24" i="3"/>
  <c r="L24" i="3"/>
  <c r="M24" i="3"/>
  <c r="D24" i="3"/>
  <c r="E13" i="3"/>
  <c r="Q49" i="6" l="1"/>
  <c r="R49" i="6" s="1"/>
  <c r="Q47" i="6"/>
  <c r="R47" i="6" s="1"/>
  <c r="R64" i="6"/>
  <c r="C54" i="6"/>
  <c r="C53" i="6"/>
  <c r="R44" i="6"/>
  <c r="Q44" i="6"/>
  <c r="E15" i="3"/>
  <c r="K13" i="4"/>
  <c r="K15" i="4" s="1"/>
  <c r="H21" i="4"/>
  <c r="I10" i="4"/>
  <c r="F10" i="3"/>
  <c r="E21" i="3"/>
  <c r="D21" i="3"/>
  <c r="F13" i="3"/>
  <c r="F15" i="3" s="1"/>
  <c r="D5" i="3"/>
  <c r="E5" i="3" s="1"/>
  <c r="C52" i="6" l="1"/>
  <c r="I21" i="4"/>
  <c r="J10" i="4"/>
  <c r="L13" i="4"/>
  <c r="L15" i="4" s="1"/>
  <c r="G13" i="3"/>
  <c r="G10" i="3"/>
  <c r="H13" i="3"/>
  <c r="J13" i="2"/>
  <c r="K13" i="2" s="1"/>
  <c r="J15" i="2"/>
  <c r="K15" i="2" s="1"/>
  <c r="K12" i="2"/>
  <c r="J11" i="2"/>
  <c r="K11" i="2" s="1"/>
  <c r="J10" i="2"/>
  <c r="K10" i="2" s="1"/>
  <c r="J9" i="2"/>
  <c r="K9" i="2" s="1"/>
  <c r="J8" i="2"/>
  <c r="J7" i="2"/>
  <c r="K7" i="2" s="1"/>
  <c r="J6" i="2"/>
  <c r="K6" i="2" s="1"/>
  <c r="J5" i="2"/>
  <c r="K5" i="2" s="1"/>
  <c r="J4" i="2"/>
  <c r="K4" i="2" s="1"/>
  <c r="E10" i="2"/>
  <c r="E9" i="2"/>
  <c r="E8" i="2"/>
  <c r="E5" i="2"/>
  <c r="E4" i="2"/>
  <c r="E3" i="2"/>
  <c r="K14" i="2" l="1"/>
  <c r="D9" i="4"/>
  <c r="D9" i="3"/>
  <c r="D17" i="3"/>
  <c r="D17" i="4"/>
  <c r="E17" i="4"/>
  <c r="F17" i="4"/>
  <c r="G17" i="4"/>
  <c r="H17" i="4"/>
  <c r="I17" i="4"/>
  <c r="E17" i="3"/>
  <c r="J17" i="4"/>
  <c r="K8" i="2"/>
  <c r="D8" i="4"/>
  <c r="D8" i="3"/>
  <c r="K17" i="4"/>
  <c r="F17" i="3"/>
  <c r="D22" i="4"/>
  <c r="D22" i="3"/>
  <c r="E22" i="4"/>
  <c r="E22" i="3"/>
  <c r="F22" i="4"/>
  <c r="F22" i="3"/>
  <c r="H22" i="4"/>
  <c r="H15" i="3"/>
  <c r="G22" i="4"/>
  <c r="G15" i="3"/>
  <c r="G17" i="3"/>
  <c r="G22" i="3"/>
  <c r="D7" i="3"/>
  <c r="D18" i="3" s="1"/>
  <c r="D7" i="4"/>
  <c r="J21" i="4"/>
  <c r="K10" i="4"/>
  <c r="M13" i="4"/>
  <c r="M15" i="4" s="1"/>
  <c r="L17" i="4"/>
  <c r="H10" i="3"/>
  <c r="G21" i="3"/>
  <c r="H17" i="3"/>
  <c r="I13" i="3"/>
  <c r="H22" i="3"/>
  <c r="J16" i="2"/>
  <c r="I7" i="2" s="1"/>
  <c r="E8" i="3" l="1"/>
  <c r="D19" i="3"/>
  <c r="E9" i="3"/>
  <c r="D20" i="3"/>
  <c r="D19" i="4"/>
  <c r="E8" i="4"/>
  <c r="D20" i="4"/>
  <c r="E9" i="4"/>
  <c r="I22" i="4"/>
  <c r="I15" i="3"/>
  <c r="J13" i="3"/>
  <c r="E7" i="3"/>
  <c r="D18" i="4"/>
  <c r="E7" i="4"/>
  <c r="M17" i="4"/>
  <c r="K21" i="4"/>
  <c r="L10" i="4"/>
  <c r="I10" i="3"/>
  <c r="H21" i="3"/>
  <c r="I17" i="3"/>
  <c r="I22" i="3"/>
  <c r="J22" i="4"/>
  <c r="I5" i="2"/>
  <c r="I9" i="2"/>
  <c r="I13" i="2"/>
  <c r="I6" i="2"/>
  <c r="I14" i="2"/>
  <c r="I11" i="2"/>
  <c r="I15" i="2"/>
  <c r="I8" i="2"/>
  <c r="I12" i="2"/>
  <c r="I10" i="2"/>
  <c r="I4" i="2"/>
  <c r="K16" i="2"/>
  <c r="AA31" i="4" l="1"/>
  <c r="AA23" i="4"/>
  <c r="AA27" i="4"/>
  <c r="AA19" i="4"/>
  <c r="AA15" i="4"/>
  <c r="D23" i="3"/>
  <c r="D30" i="3"/>
  <c r="D31" i="3" s="1"/>
  <c r="D32" i="3" s="1"/>
  <c r="D26" i="3"/>
  <c r="U15" i="3" s="1"/>
  <c r="F9" i="3"/>
  <c r="E20" i="3"/>
  <c r="F8" i="4"/>
  <c r="E19" i="4"/>
  <c r="D23" i="4"/>
  <c r="F8" i="3"/>
  <c r="E19" i="3"/>
  <c r="E20" i="4"/>
  <c r="F9" i="4"/>
  <c r="V27" i="3"/>
  <c r="V30" i="3"/>
  <c r="U18" i="3"/>
  <c r="U21" i="3" s="1"/>
  <c r="U24" i="3" s="1"/>
  <c r="U27" i="3" s="1"/>
  <c r="U30" i="3" s="1"/>
  <c r="V24" i="3"/>
  <c r="V21" i="3"/>
  <c r="E18" i="3"/>
  <c r="E23" i="3" s="1"/>
  <c r="E26" i="3" s="1"/>
  <c r="V15" i="3" s="1"/>
  <c r="J15" i="3"/>
  <c r="K13" i="3"/>
  <c r="D34" i="3"/>
  <c r="D36" i="3" s="1"/>
  <c r="D28" i="3"/>
  <c r="F7" i="3"/>
  <c r="E18" i="4"/>
  <c r="F7" i="4"/>
  <c r="L21" i="4"/>
  <c r="AJ8" i="4" s="1"/>
  <c r="M10" i="4"/>
  <c r="J10" i="3"/>
  <c r="I21" i="3"/>
  <c r="J22" i="3"/>
  <c r="K22" i="4"/>
  <c r="J17" i="3"/>
  <c r="I16" i="2"/>
  <c r="AB31" i="4" l="1"/>
  <c r="M21" i="4"/>
  <c r="AB19" i="4"/>
  <c r="AB23" i="4"/>
  <c r="AB15" i="4"/>
  <c r="AB27" i="4"/>
  <c r="D26" i="4"/>
  <c r="D28" i="4" s="1"/>
  <c r="D30" i="4" s="1"/>
  <c r="D32" i="4" s="1"/>
  <c r="E32" i="4" s="1"/>
  <c r="F32" i="4" s="1"/>
  <c r="D44" i="4"/>
  <c r="E23" i="4"/>
  <c r="F20" i="4"/>
  <c r="G9" i="4"/>
  <c r="G8" i="3"/>
  <c r="F19" i="3"/>
  <c r="G9" i="3"/>
  <c r="F20" i="3"/>
  <c r="G8" i="4"/>
  <c r="F19" i="4"/>
  <c r="W27" i="3"/>
  <c r="W30" i="3"/>
  <c r="E30" i="3"/>
  <c r="E31" i="3" s="1"/>
  <c r="E32" i="3" s="1"/>
  <c r="W24" i="3"/>
  <c r="W21" i="3"/>
  <c r="G7" i="3"/>
  <c r="H7" i="3" s="1"/>
  <c r="F18" i="3"/>
  <c r="W18" i="3"/>
  <c r="L13" i="3"/>
  <c r="K15" i="3"/>
  <c r="D43" i="3"/>
  <c r="E38" i="3"/>
  <c r="E34" i="3"/>
  <c r="E36" i="3" s="1"/>
  <c r="E40" i="3" s="1"/>
  <c r="E28" i="3"/>
  <c r="G7" i="4"/>
  <c r="F18" i="4"/>
  <c r="K10" i="3"/>
  <c r="J21" i="3"/>
  <c r="K17" i="3"/>
  <c r="K22" i="3"/>
  <c r="L22" i="4"/>
  <c r="E44" i="4" l="1"/>
  <c r="E45" i="4" s="1"/>
  <c r="AC31" i="4"/>
  <c r="D45" i="4"/>
  <c r="D46" i="4" s="1"/>
  <c r="E26" i="4"/>
  <c r="E28" i="4" s="1"/>
  <c r="E30" i="4" s="1"/>
  <c r="E34" i="4" s="1"/>
  <c r="F34" i="4" s="1"/>
  <c r="G34" i="4" s="1"/>
  <c r="AC23" i="4"/>
  <c r="AC15" i="4"/>
  <c r="AC19" i="4"/>
  <c r="AC27" i="4"/>
  <c r="D41" i="4"/>
  <c r="D42" i="4" s="1"/>
  <c r="F23" i="3"/>
  <c r="F30" i="3" s="1"/>
  <c r="F31" i="3" s="1"/>
  <c r="F32" i="3" s="1"/>
  <c r="G19" i="4"/>
  <c r="H8" i="4"/>
  <c r="H8" i="3"/>
  <c r="Y30" i="3" s="1"/>
  <c r="G19" i="3"/>
  <c r="F23" i="4"/>
  <c r="F44" i="4" s="1"/>
  <c r="F45" i="4" s="1"/>
  <c r="H9" i="4"/>
  <c r="G20" i="4"/>
  <c r="G20" i="3"/>
  <c r="H9" i="3"/>
  <c r="X27" i="3"/>
  <c r="X30" i="3"/>
  <c r="F26" i="3"/>
  <c r="W15" i="3" s="1"/>
  <c r="X24" i="3"/>
  <c r="X21" i="3"/>
  <c r="G18" i="3"/>
  <c r="G23" i="3" s="1"/>
  <c r="G26" i="3" s="1"/>
  <c r="X15" i="3" s="1"/>
  <c r="X18" i="3"/>
  <c r="M13" i="3"/>
  <c r="M15" i="3" s="1"/>
  <c r="L15" i="3"/>
  <c r="F38" i="3"/>
  <c r="E43" i="3"/>
  <c r="F34" i="3"/>
  <c r="F36" i="3" s="1"/>
  <c r="F40" i="3" s="1"/>
  <c r="G40" i="3" s="1"/>
  <c r="G18" i="4"/>
  <c r="H7" i="4"/>
  <c r="F43" i="3"/>
  <c r="L10" i="3"/>
  <c r="K21" i="3"/>
  <c r="M22" i="4"/>
  <c r="L17" i="3"/>
  <c r="L22" i="3"/>
  <c r="G30" i="3"/>
  <c r="G31" i="3" s="1"/>
  <c r="G32" i="3" s="1"/>
  <c r="I7" i="3"/>
  <c r="H18" i="3"/>
  <c r="E46" i="4" l="1"/>
  <c r="F46" i="4" s="1"/>
  <c r="AD31" i="4"/>
  <c r="E41" i="4"/>
  <c r="E42" i="4" s="1"/>
  <c r="F26" i="4"/>
  <c r="F28" i="4" s="1"/>
  <c r="F30" i="4" s="1"/>
  <c r="F41" i="4" s="1"/>
  <c r="F42" i="4" s="1"/>
  <c r="G23" i="4"/>
  <c r="G44" i="4" s="1"/>
  <c r="AD23" i="4"/>
  <c r="AD15" i="4"/>
  <c r="AD19" i="4"/>
  <c r="AD27" i="4"/>
  <c r="I8" i="3"/>
  <c r="Z30" i="3" s="1"/>
  <c r="H19" i="3"/>
  <c r="Y21" i="3"/>
  <c r="Y27" i="3"/>
  <c r="I9" i="4"/>
  <c r="H20" i="4"/>
  <c r="H19" i="4"/>
  <c r="I8" i="4"/>
  <c r="Y24" i="3"/>
  <c r="I9" i="3"/>
  <c r="Z27" i="3" s="1"/>
  <c r="H20" i="3"/>
  <c r="H23" i="3"/>
  <c r="H30" i="3" s="1"/>
  <c r="H31" i="3" s="1"/>
  <c r="H32" i="3" s="1"/>
  <c r="Y18" i="3"/>
  <c r="F28" i="3"/>
  <c r="Z21" i="3"/>
  <c r="Z24" i="3"/>
  <c r="Z18" i="3"/>
  <c r="G34" i="3"/>
  <c r="G36" i="3" s="1"/>
  <c r="G37" i="3" s="1"/>
  <c r="G38" i="3" s="1"/>
  <c r="H37" i="3" s="1"/>
  <c r="G28" i="3"/>
  <c r="H18" i="4"/>
  <c r="I7" i="4"/>
  <c r="M10" i="3"/>
  <c r="M21" i="3" s="1"/>
  <c r="L21" i="3"/>
  <c r="H26" i="3"/>
  <c r="Y15" i="3" s="1"/>
  <c r="M17" i="3"/>
  <c r="M22" i="3"/>
  <c r="J7" i="3"/>
  <c r="I18" i="3"/>
  <c r="AE31" i="4" l="1"/>
  <c r="F36" i="4"/>
  <c r="G36" i="4" s="1"/>
  <c r="H36" i="4" s="1"/>
  <c r="G45" i="4"/>
  <c r="G46" i="4" s="1"/>
  <c r="G26" i="4"/>
  <c r="G28" i="4" s="1"/>
  <c r="G30" i="4" s="1"/>
  <c r="G38" i="4" s="1"/>
  <c r="AE23" i="4"/>
  <c r="AE15" i="4"/>
  <c r="AE19" i="4"/>
  <c r="AE27" i="4"/>
  <c r="H23" i="4"/>
  <c r="H44" i="4" s="1"/>
  <c r="H45" i="4" s="1"/>
  <c r="J8" i="4"/>
  <c r="I19" i="4"/>
  <c r="I20" i="3"/>
  <c r="J9" i="3"/>
  <c r="I20" i="4"/>
  <c r="J9" i="4"/>
  <c r="J8" i="3"/>
  <c r="AA24" i="3" s="1"/>
  <c r="I19" i="3"/>
  <c r="I23" i="3" s="1"/>
  <c r="G43" i="3"/>
  <c r="H34" i="3"/>
  <c r="H36" i="3" s="1"/>
  <c r="H28" i="3"/>
  <c r="J7" i="4"/>
  <c r="I18" i="4"/>
  <c r="I23" i="4" s="1"/>
  <c r="H26" i="4"/>
  <c r="H28" i="4" s="1"/>
  <c r="H30" i="4" s="1"/>
  <c r="H31" i="4" s="1"/>
  <c r="H39" i="4" s="1"/>
  <c r="K7" i="3"/>
  <c r="J18" i="3"/>
  <c r="AF31" i="4" l="1"/>
  <c r="G41" i="4"/>
  <c r="G42" i="4" s="1"/>
  <c r="G32" i="4"/>
  <c r="H34" i="4" s="1"/>
  <c r="H38" i="4"/>
  <c r="H46" i="4"/>
  <c r="AF15" i="4"/>
  <c r="AF19" i="4"/>
  <c r="AF23" i="4"/>
  <c r="AF27" i="4"/>
  <c r="I26" i="3"/>
  <c r="Z15" i="3" s="1"/>
  <c r="I30" i="3"/>
  <c r="I31" i="3" s="1"/>
  <c r="I32" i="3" s="1"/>
  <c r="K8" i="3"/>
  <c r="J19" i="3"/>
  <c r="AA30" i="3"/>
  <c r="J20" i="4"/>
  <c r="K9" i="4"/>
  <c r="AA18" i="3"/>
  <c r="AA27" i="3"/>
  <c r="AA21" i="3"/>
  <c r="K9" i="3"/>
  <c r="AB21" i="3" s="1"/>
  <c r="J20" i="3"/>
  <c r="J19" i="4"/>
  <c r="K8" i="4"/>
  <c r="AB18" i="3"/>
  <c r="H38" i="3"/>
  <c r="I37" i="3" s="1"/>
  <c r="I38" i="3" s="1"/>
  <c r="J37" i="3" s="1"/>
  <c r="J38" i="3" s="1"/>
  <c r="H43" i="3"/>
  <c r="I34" i="3"/>
  <c r="I36" i="3" s="1"/>
  <c r="I28" i="3"/>
  <c r="I26" i="4"/>
  <c r="I28" i="4" s="1"/>
  <c r="I30" i="4" s="1"/>
  <c r="H41" i="4"/>
  <c r="H42" i="4" s="1"/>
  <c r="J18" i="4"/>
  <c r="K7" i="4"/>
  <c r="L7" i="3"/>
  <c r="K18" i="3"/>
  <c r="AG31" i="4" l="1"/>
  <c r="H32" i="4"/>
  <c r="I31" i="4" s="1"/>
  <c r="AG15" i="4"/>
  <c r="AG19" i="4"/>
  <c r="AG23" i="4"/>
  <c r="AG27" i="4"/>
  <c r="J23" i="4"/>
  <c r="J23" i="3"/>
  <c r="J26" i="3"/>
  <c r="AA15" i="3" s="1"/>
  <c r="J30" i="3"/>
  <c r="J31" i="3" s="1"/>
  <c r="J32" i="3" s="1"/>
  <c r="AB27" i="3"/>
  <c r="L8" i="4"/>
  <c r="K19" i="4"/>
  <c r="L9" i="4"/>
  <c r="K20" i="4"/>
  <c r="L8" i="3"/>
  <c r="K19" i="3"/>
  <c r="K23" i="3" s="1"/>
  <c r="K20" i="3"/>
  <c r="L9" i="3"/>
  <c r="AB24" i="3"/>
  <c r="AB30" i="3"/>
  <c r="AC27" i="3"/>
  <c r="AC18" i="3"/>
  <c r="H39" i="3"/>
  <c r="H40" i="3" s="1"/>
  <c r="I39" i="3" s="1"/>
  <c r="I41" i="3" s="1"/>
  <c r="I42" i="3" s="1"/>
  <c r="I43" i="3" s="1"/>
  <c r="J34" i="3"/>
  <c r="J36" i="3" s="1"/>
  <c r="J28" i="3"/>
  <c r="K37" i="3"/>
  <c r="K38" i="3" s="1"/>
  <c r="L37" i="3" s="1"/>
  <c r="L38" i="3" s="1"/>
  <c r="M37" i="3" s="1"/>
  <c r="M38" i="3" s="1"/>
  <c r="L7" i="4"/>
  <c r="K18" i="4"/>
  <c r="K23" i="4" s="1"/>
  <c r="J26" i="4"/>
  <c r="J28" i="4" s="1"/>
  <c r="J30" i="4" s="1"/>
  <c r="M7" i="3"/>
  <c r="L18" i="3"/>
  <c r="AH31" i="4" l="1"/>
  <c r="I32" i="4"/>
  <c r="J32" i="4" s="1"/>
  <c r="K31" i="4" s="1"/>
  <c r="K32" i="4" s="1"/>
  <c r="L31" i="4" s="1"/>
  <c r="L32" i="4" s="1"/>
  <c r="M31" i="4" s="1"/>
  <c r="M32" i="4" s="1"/>
  <c r="I33" i="4"/>
  <c r="I34" i="4" s="1"/>
  <c r="J33" i="4" s="1"/>
  <c r="I38" i="4"/>
  <c r="I36" i="4"/>
  <c r="J35" i="4" s="1"/>
  <c r="AH15" i="4"/>
  <c r="AH19" i="4"/>
  <c r="AH23" i="4"/>
  <c r="AH27" i="4"/>
  <c r="K30" i="3"/>
  <c r="K31" i="3" s="1"/>
  <c r="K32" i="3" s="1"/>
  <c r="K26" i="3"/>
  <c r="AB15" i="3" s="1"/>
  <c r="L20" i="3"/>
  <c r="M9" i="3"/>
  <c r="M20" i="3" s="1"/>
  <c r="M8" i="3"/>
  <c r="M19" i="3" s="1"/>
  <c r="L19" i="3"/>
  <c r="L23" i="3" s="1"/>
  <c r="L19" i="4"/>
  <c r="M8" i="4"/>
  <c r="M19" i="4" s="1"/>
  <c r="AC21" i="3"/>
  <c r="L20" i="4"/>
  <c r="M9" i="4"/>
  <c r="AC24" i="3"/>
  <c r="AC30" i="3"/>
  <c r="AD24" i="3"/>
  <c r="AE24" i="3" s="1"/>
  <c r="I40" i="3"/>
  <c r="J39" i="3" s="1"/>
  <c r="J41" i="3" s="1"/>
  <c r="J42" i="3" s="1"/>
  <c r="J43" i="3" s="1"/>
  <c r="K34" i="3"/>
  <c r="K36" i="3" s="1"/>
  <c r="K28" i="3"/>
  <c r="K26" i="4"/>
  <c r="K28" i="4" s="1"/>
  <c r="K30" i="4" s="1"/>
  <c r="M7" i="4"/>
  <c r="M18" i="4" s="1"/>
  <c r="L18" i="4"/>
  <c r="M18" i="3"/>
  <c r="AI31" i="4" l="1"/>
  <c r="AJ28" i="4" s="1"/>
  <c r="J37" i="4"/>
  <c r="J38" i="4" s="1"/>
  <c r="K37" i="4" s="1"/>
  <c r="I39" i="4"/>
  <c r="I40" i="4" s="1"/>
  <c r="I44" i="4" s="1"/>
  <c r="J36" i="4"/>
  <c r="M20" i="4"/>
  <c r="AI15" i="4"/>
  <c r="AJ12" i="4" s="1"/>
  <c r="AI19" i="4"/>
  <c r="AJ16" i="4" s="1"/>
  <c r="AI23" i="4"/>
  <c r="AJ20" i="4" s="1"/>
  <c r="AI27" i="4"/>
  <c r="AJ24" i="4" s="1"/>
  <c r="M23" i="4"/>
  <c r="M26" i="4" s="1"/>
  <c r="M28" i="4" s="1"/>
  <c r="M30" i="4" s="1"/>
  <c r="M23" i="3"/>
  <c r="AD21" i="3"/>
  <c r="AE21" i="3" s="1"/>
  <c r="AD30" i="3"/>
  <c r="AD18" i="3"/>
  <c r="AE18" i="3" s="1"/>
  <c r="L30" i="3"/>
  <c r="L31" i="3" s="1"/>
  <c r="L32" i="3" s="1"/>
  <c r="L26" i="3"/>
  <c r="AC15" i="3" s="1"/>
  <c r="AE30" i="3"/>
  <c r="L23" i="4"/>
  <c r="AD27" i="3"/>
  <c r="AE27" i="3" s="1"/>
  <c r="J40" i="3"/>
  <c r="K39" i="3" s="1"/>
  <c r="K40" i="3" s="1"/>
  <c r="L39" i="3" s="1"/>
  <c r="L40" i="3" s="1"/>
  <c r="M39" i="3" s="1"/>
  <c r="M40" i="3" s="1"/>
  <c r="L34" i="3"/>
  <c r="L36" i="3" s="1"/>
  <c r="L28" i="3"/>
  <c r="J34" i="4"/>
  <c r="K33" i="4" s="1"/>
  <c r="K34" i="4" s="1"/>
  <c r="L33" i="4" s="1"/>
  <c r="L34" i="4" s="1"/>
  <c r="M33" i="4" s="1"/>
  <c r="M34" i="4" s="1"/>
  <c r="M26" i="3"/>
  <c r="AD15" i="3" s="1"/>
  <c r="AE15" i="3" s="1"/>
  <c r="M30" i="3"/>
  <c r="I41" i="4" l="1"/>
  <c r="I42" i="4" s="1"/>
  <c r="I45" i="4"/>
  <c r="I46" i="4" s="1"/>
  <c r="J39" i="4"/>
  <c r="L26" i="4"/>
  <c r="L28" i="4" s="1"/>
  <c r="L30" i="4" s="1"/>
  <c r="K35" i="4"/>
  <c r="K41" i="3"/>
  <c r="K42" i="3" s="1"/>
  <c r="K43" i="3" s="1"/>
  <c r="L41" i="3"/>
  <c r="L42" i="3" s="1"/>
  <c r="L43" i="3" s="1"/>
  <c r="M34" i="3"/>
  <c r="M36" i="3" s="1"/>
  <c r="M41" i="3" s="1"/>
  <c r="M42" i="3" s="1"/>
  <c r="M43" i="3" s="1"/>
  <c r="M28" i="3"/>
  <c r="C46" i="3"/>
  <c r="M31" i="3"/>
  <c r="M32" i="3" s="1"/>
  <c r="K36" i="4" l="1"/>
  <c r="L35" i="4" s="1"/>
  <c r="L36" i="4" s="1"/>
  <c r="M35" i="4" s="1"/>
  <c r="K38" i="4"/>
  <c r="L37" i="4" s="1"/>
  <c r="L38" i="4" s="1"/>
  <c r="M37" i="4" s="1"/>
  <c r="M38" i="4" s="1"/>
  <c r="J40" i="4"/>
  <c r="C45" i="3"/>
  <c r="J41" i="4" l="1"/>
  <c r="J42" i="4" s="1"/>
  <c r="J44" i="4"/>
  <c r="M39" i="4"/>
  <c r="M40" i="4" s="1"/>
  <c r="L39" i="4"/>
  <c r="L40" i="4" s="1"/>
  <c r="K39" i="4"/>
  <c r="K40" i="4" s="1"/>
  <c r="M36" i="4"/>
  <c r="J45" i="4" l="1"/>
  <c r="J46" i="4" s="1"/>
  <c r="L41" i="4"/>
  <c r="L42" i="4" s="1"/>
  <c r="L44" i="4"/>
  <c r="L45" i="4" s="1"/>
  <c r="M41" i="4"/>
  <c r="M42" i="4" s="1"/>
  <c r="M44" i="4"/>
  <c r="M45" i="4" s="1"/>
  <c r="K41" i="4"/>
  <c r="K42" i="4" s="1"/>
  <c r="K44" i="4"/>
  <c r="K45" i="4" s="1"/>
  <c r="K46" i="4" l="1"/>
  <c r="L46" i="4" s="1"/>
  <c r="M46" i="4" s="1"/>
  <c r="C50" i="4"/>
  <c r="C49" i="4"/>
  <c r="C51" i="4"/>
</calcChain>
</file>

<file path=xl/sharedStrings.xml><?xml version="1.0" encoding="utf-8"?>
<sst xmlns="http://schemas.openxmlformats.org/spreadsheetml/2006/main" count="455" uniqueCount="177">
  <si>
    <t>Mycí zařízení</t>
  </si>
  <si>
    <t>Elektřina</t>
  </si>
  <si>
    <t>Stlačený vzduch</t>
  </si>
  <si>
    <t>Mycí prostředek VIGION A 201 (25%)</t>
  </si>
  <si>
    <t>Kohoutková voda</t>
  </si>
  <si>
    <t>Kohoutková voda - vodné</t>
  </si>
  <si>
    <t>Odpadní voda - stočné</t>
  </si>
  <si>
    <t>Likvidace mycího prostředku</t>
  </si>
  <si>
    <t>Odpisy</t>
  </si>
  <si>
    <t>Počet přestavek za den</t>
  </si>
  <si>
    <t>Počet pracovních dnů</t>
  </si>
  <si>
    <t>Počet cyklů mezi přestávkami</t>
  </si>
  <si>
    <t>Kapacita zařízení (max. 1,3 cyklu/hod.)</t>
  </si>
  <si>
    <t>Běžná doba trvání jednoho cyklu</t>
  </si>
  <si>
    <t>Spotřeba mycího prostředku</t>
  </si>
  <si>
    <t>Množství mycího prosředku</t>
  </si>
  <si>
    <t>Výměna mycího prostředku za rok</t>
  </si>
  <si>
    <t>Spotřeba kohoutkové vody</t>
  </si>
  <si>
    <t>Množství vody</t>
  </si>
  <si>
    <t>Výměna vody za rok</t>
  </si>
  <si>
    <t>Spotřeba stlačeného vzduchu</t>
  </si>
  <si>
    <t>Spotřební materiál</t>
  </si>
  <si>
    <t>Revize a servis mycího zařízení</t>
  </si>
  <si>
    <t>€</t>
  </si>
  <si>
    <t>€/kWh</t>
  </si>
  <si>
    <t>€/l</t>
  </si>
  <si>
    <t>€/hod.</t>
  </si>
  <si>
    <t>rok</t>
  </si>
  <si>
    <t>hod.</t>
  </si>
  <si>
    <t>denně</t>
  </si>
  <si>
    <t>ročně</t>
  </si>
  <si>
    <t>min</t>
  </si>
  <si>
    <t>cyklů</t>
  </si>
  <si>
    <t>cykl/hod.</t>
  </si>
  <si>
    <t>rám/cykl</t>
  </si>
  <si>
    <t>l/cykl</t>
  </si>
  <si>
    <t>l</t>
  </si>
  <si>
    <t>kW</t>
  </si>
  <si>
    <t>l/min</t>
  </si>
  <si>
    <t>€/rok</t>
  </si>
  <si>
    <t>€/měsíc</t>
  </si>
  <si>
    <r>
      <t>€/m</t>
    </r>
    <r>
      <rPr>
        <vertAlign val="superscript"/>
        <sz val="11"/>
        <color theme="1"/>
        <rFont val="Times New Roman"/>
        <family val="1"/>
        <charset val="238"/>
      </rPr>
      <t>3</t>
    </r>
  </si>
  <si>
    <t>Odpis</t>
  </si>
  <si>
    <t>Doba trvání obsluhy (1 cyklus)</t>
  </si>
  <si>
    <t>Elektrická energie</t>
  </si>
  <si>
    <t>Mycí prostředek</t>
  </si>
  <si>
    <t>Výměna mycího prostředku</t>
  </si>
  <si>
    <t>Výměna kohoutkové vody</t>
  </si>
  <si>
    <t>Likvidace kohoutkové vody</t>
  </si>
  <si>
    <t>Revize a servis zařízení</t>
  </si>
  <si>
    <t>Mzda (1 zaměstnanec obsluhující zařízení)</t>
  </si>
  <si>
    <t>Mzdové náklady</t>
  </si>
  <si>
    <t>Celkové náklady na 1 cyklus</t>
  </si>
  <si>
    <t>Předpokládaný počet cyklů</t>
  </si>
  <si>
    <t>Rok</t>
  </si>
  <si>
    <t>Energie</t>
  </si>
  <si>
    <t>Revize a servis</t>
  </si>
  <si>
    <t>Předpokládaný růst mezd</t>
  </si>
  <si>
    <t>Předpokládaná inflace</t>
  </si>
  <si>
    <t>Kurz CZK/EUR (17.3.2017)</t>
  </si>
  <si>
    <t>Převod na Kč</t>
  </si>
  <si>
    <t>Ekologická likvidace (voda, prostředek)</t>
  </si>
  <si>
    <t>Délka pracovní doby</t>
  </si>
  <si>
    <t>Osobní náklady</t>
  </si>
  <si>
    <t>Položka</t>
  </si>
  <si>
    <t>Podíl</t>
  </si>
  <si>
    <t>Cena v EUR</t>
  </si>
  <si>
    <t>Cena v CZK</t>
  </si>
  <si>
    <t xml:space="preserve">Růst mzdy / hod. </t>
  </si>
  <si>
    <t>Mycí prostředek / cyklus</t>
  </si>
  <si>
    <t>Spotřební materiál / cyklus</t>
  </si>
  <si>
    <t>Cena za jeden mycí cyklus</t>
  </si>
  <si>
    <t>Celkové provozní výnosy</t>
  </si>
  <si>
    <t>Předpokládaný meziroční nárůst mycích cyklů do 2021</t>
  </si>
  <si>
    <t>Vývoj kurzu (CZK/EUR)</t>
  </si>
  <si>
    <t xml:space="preserve">Předopkládaný meziroční nárůst jednotlivých nákladových položek v závislosti na změně inflace, průměrné mzdy a kurzu CZK/EUR </t>
  </si>
  <si>
    <t>Revize a servis / rok</t>
  </si>
  <si>
    <t>Celkové provozní náklady</t>
  </si>
  <si>
    <t>Součet nákladů bez odpisů</t>
  </si>
  <si>
    <t>-</t>
  </si>
  <si>
    <t>Cash Flow</t>
  </si>
  <si>
    <t>Výsledek hospodaření</t>
  </si>
  <si>
    <t>Daňové odpisy</t>
  </si>
  <si>
    <t>Základ daně před odečtením ztrát</t>
  </si>
  <si>
    <t>Základ daně</t>
  </si>
  <si>
    <t>Uplatnění ztráty z roku 2016</t>
  </si>
  <si>
    <t>Daň z příjmu (19 %)</t>
  </si>
  <si>
    <t>Zisk po zdanění (EAT)</t>
  </si>
  <si>
    <t>Akumulovaný zisk</t>
  </si>
  <si>
    <t>Čistá současná hodnota</t>
  </si>
  <si>
    <t>Diskotní sazba</t>
  </si>
  <si>
    <t>Zůstatek ztráty z roku 2016</t>
  </si>
  <si>
    <t>Uplatnění ztráty z roku 2017</t>
  </si>
  <si>
    <t>Zůstatek ztráty z roku 2017</t>
  </si>
  <si>
    <t>Uplatnění ztráty z roku 2018</t>
  </si>
  <si>
    <t>Zůstatek ztráty z roku 2018</t>
  </si>
  <si>
    <t>Uplatnění ztráty z roku 2019</t>
  </si>
  <si>
    <t>Zůstatek ztráty z roku 2019</t>
  </si>
  <si>
    <t>Uplatnění ztráty z let 2017, 2018</t>
  </si>
  <si>
    <t>Zůstatek ztráty z 2017, 2018</t>
  </si>
  <si>
    <t>Diskontované CF</t>
  </si>
  <si>
    <t>Kumulovaná hodnota DCF</t>
  </si>
  <si>
    <t>Provozní náklady na jeden cyklus</t>
  </si>
  <si>
    <t>Počet rámu v zářízení</t>
  </si>
  <si>
    <t xml:space="preserve">Technické údaje o zařízení </t>
  </si>
  <si>
    <t>Aktuální ceny ( náklady)</t>
  </si>
  <si>
    <t>Technicko - ekonomické údaje  Mini SWASH II</t>
  </si>
  <si>
    <t>Obsluha (činnost) zařízení</t>
  </si>
  <si>
    <t>Vyčíslení nákladů na jeden mycí cyklus v roce 2016</t>
  </si>
  <si>
    <t>Meziroční růst</t>
  </si>
  <si>
    <t>Cena za cykus</t>
  </si>
  <si>
    <t>Roční výnosy</t>
  </si>
  <si>
    <t>Výnosy v závislosti na počtu mycích cyklů v jednotlivých letech</t>
  </si>
  <si>
    <t>Roční náklady</t>
  </si>
  <si>
    <t>Požadovaný výsledek hospodaření</t>
  </si>
  <si>
    <t>Počet cyklů</t>
  </si>
  <si>
    <t>Vnitřní výnosové procento</t>
  </si>
  <si>
    <t>Závislost NPV na počáteční ceně</t>
  </si>
  <si>
    <t>NPV</t>
  </si>
  <si>
    <t>cena za cyklus</t>
  </si>
  <si>
    <t>Závislost NPV na diskontní sazbě</t>
  </si>
  <si>
    <t>diskotní sazba</t>
  </si>
  <si>
    <t>Kumulovaná hodnota</t>
  </si>
  <si>
    <t>Kapitálový výdaj</t>
  </si>
  <si>
    <t>Provozní výnosy</t>
  </si>
  <si>
    <t>Diskontovaný zisk (EAT)</t>
  </si>
  <si>
    <t>Průměrný příkon (mytí, oplach, sušení)</t>
  </si>
  <si>
    <t>Doba odepisování</t>
  </si>
  <si>
    <t>Počet rámů v zářízení</t>
  </si>
  <si>
    <t>Kč</t>
  </si>
  <si>
    <t>Kč/kWh</t>
  </si>
  <si>
    <t>Mycí prostředek DECOTRON CP381</t>
  </si>
  <si>
    <t>Kč/l</t>
  </si>
  <si>
    <t>Technicko - ekonomické údaje  INJET 388-CRD</t>
  </si>
  <si>
    <t>Deionizovaná voda</t>
  </si>
  <si>
    <t>Likvidace deionizované vody</t>
  </si>
  <si>
    <t>Délka odepisování</t>
  </si>
  <si>
    <t>Kapacita zařízení (max. 2 cykly/hod.)</t>
  </si>
  <si>
    <t>Spotřeba deionozované vody</t>
  </si>
  <si>
    <t>Oplach dionizovanou vodou</t>
  </si>
  <si>
    <t>krát</t>
  </si>
  <si>
    <t>l/oplach</t>
  </si>
  <si>
    <t>Průměrný příkon</t>
  </si>
  <si>
    <r>
      <t>Kč/m</t>
    </r>
    <r>
      <rPr>
        <vertAlign val="superscript"/>
        <sz val="11"/>
        <color theme="1"/>
        <rFont val="Times New Roman"/>
        <family val="1"/>
        <charset val="238"/>
      </rPr>
      <t>3</t>
    </r>
  </si>
  <si>
    <t>Množství mycího prostředku</t>
  </si>
  <si>
    <t>Množství deionizované vody</t>
  </si>
  <si>
    <t>Výměna DI vody, mycí prostředek za rok</t>
  </si>
  <si>
    <t>Provozní zisk (EBIT)</t>
  </si>
  <si>
    <t>Cash Flow po zdanění</t>
  </si>
  <si>
    <t>518 Kč /cyklus</t>
  </si>
  <si>
    <t>538 Kč/cyklus</t>
  </si>
  <si>
    <t>Zaznamenané hodnoty pro dvě různé ceny za účelem srovnání</t>
  </si>
  <si>
    <t>Cena za cyklus</t>
  </si>
  <si>
    <t>Požadovaný EBIT</t>
  </si>
  <si>
    <t>Data pro analýzu ceny na základě vývoje počtu mycích cyklů</t>
  </si>
  <si>
    <t>Kč/hod.</t>
  </si>
  <si>
    <t>Výměna deionizované vody</t>
  </si>
  <si>
    <t>Deionizovaná voda + výměna / cyklus</t>
  </si>
  <si>
    <t>Ekologická likvidace</t>
  </si>
  <si>
    <t>Uplatnění ztráty z roku 2020</t>
  </si>
  <si>
    <t>Zůstatek ztráty z roku 2020</t>
  </si>
  <si>
    <t>Daň z příjmu (19%)</t>
  </si>
  <si>
    <t>Cash flow po zdanění</t>
  </si>
  <si>
    <t>Kumulovaná hodnota CF</t>
  </si>
  <si>
    <t xml:space="preserve"> </t>
  </si>
  <si>
    <t>448 Kč/cyklus</t>
  </si>
  <si>
    <t>Kč/měsíc</t>
  </si>
  <si>
    <t>Kč/rok</t>
  </si>
  <si>
    <t>Součet mycích cyklů</t>
  </si>
  <si>
    <t>Kumulované výnosy</t>
  </si>
  <si>
    <t>Kumulovné náklady</t>
  </si>
  <si>
    <t>Kumulované náklady</t>
  </si>
  <si>
    <t>431 Kč /cyklus</t>
  </si>
  <si>
    <t>Výpočet RCF</t>
  </si>
  <si>
    <t>Zvýšení ceny v %</t>
  </si>
  <si>
    <r>
      <t>a</t>
    </r>
    <r>
      <rPr>
        <vertAlign val="subscript"/>
        <sz val="11"/>
        <color theme="1"/>
        <rFont val="Times New Roman"/>
        <family val="1"/>
        <charset val="238"/>
      </rPr>
      <t>Tp</t>
    </r>
  </si>
  <si>
    <t>RCF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</si>
</sst>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#,##0\ &quot;Kč&quot;;[Red]\-#,##0\ &quot;Kč&quot;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#,##0.0000\ [$€-1]"/>
    <numFmt numFmtId="165" formatCode="#,##0.00\ &quot;Kč&quot;"/>
    <numFmt numFmtId="166" formatCode="0.0000%"/>
    <numFmt numFmtId="167" formatCode="0.000%"/>
    <numFmt numFmtId="168" formatCode="#,##0\ &quot;Kč&quot;"/>
    <numFmt numFmtId="169" formatCode="#,##0.00\ [$€-1]"/>
    <numFmt numFmtId="170" formatCode="_-* #,##0\ [$Kč-405]_-;\-* #,##0\ [$Kč-405]_-;_-* &quot;-&quot;??\ [$Kč-405]_-;_-@_-"/>
    <numFmt numFmtId="171" formatCode="_-* #,##0.00\ [$Kč-405]_-;\-* #,##0.00\ [$Kč-405]_-;_-* &quot;-&quot;??\ [$Kč-405]_-;_-@_-"/>
    <numFmt numFmtId="172" formatCode="_-* #,##0\ &quot;Kč&quot;_-;\-* #,##0\ &quot;Kč&quot;_-;_-* &quot;-&quot;??\ &quot;Kč&quot;_-;_-@_-"/>
    <numFmt numFmtId="173" formatCode="#,##0\ [$Kč-405];\-#,##0\ [$Kč-405]"/>
  </numFmts>
  <fonts count="17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0" tint="-0.49998474074526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0"/>
      <name val="Times New Roman"/>
      <family val="1"/>
      <charset val="238"/>
    </font>
    <font>
      <sz val="16"/>
      <color theme="1"/>
      <name val="Times New Roman"/>
      <family val="1"/>
      <charset val="238"/>
    </font>
    <font>
      <vertAlign val="subscript"/>
      <sz val="11"/>
      <color theme="1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rgb="FFBFEFBF"/>
        <bgColor indexed="64"/>
      </patternFill>
    </fill>
    <fill>
      <patternFill patternType="solid">
        <fgColor rgb="FFC5D8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4C9FF"/>
        <bgColor indexed="64"/>
      </patternFill>
    </fill>
    <fill>
      <patternFill patternType="solid">
        <fgColor rgb="FFF2E5FF"/>
        <bgColor indexed="64"/>
      </patternFill>
    </fill>
    <fill>
      <patternFill patternType="solid">
        <fgColor rgb="FFC78FFF"/>
        <bgColor indexed="64"/>
      </patternFill>
    </fill>
    <fill>
      <patternFill patternType="solid">
        <fgColor rgb="FFFFB3B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95">
    <xf numFmtId="0" fontId="0" fillId="0" borderId="0" xfId="0"/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6" xfId="0" applyFont="1" applyFill="1" applyBorder="1"/>
    <xf numFmtId="0" fontId="2" fillId="2" borderId="8" xfId="0" applyFont="1" applyFill="1" applyBorder="1"/>
    <xf numFmtId="0" fontId="2" fillId="2" borderId="10" xfId="0" applyFont="1" applyFill="1" applyBorder="1"/>
    <xf numFmtId="0" fontId="2" fillId="3" borderId="6" xfId="0" applyFont="1" applyFill="1" applyBorder="1"/>
    <xf numFmtId="0" fontId="2" fillId="3" borderId="8" xfId="0" applyFont="1" applyFill="1" applyBorder="1"/>
    <xf numFmtId="0" fontId="2" fillId="3" borderId="10" xfId="0" applyFont="1" applyFill="1" applyBorder="1"/>
    <xf numFmtId="4" fontId="2" fillId="0" borderId="6" xfId="0" applyNumberFormat="1" applyFont="1" applyBorder="1"/>
    <xf numFmtId="4" fontId="2" fillId="0" borderId="8" xfId="0" applyNumberFormat="1" applyFont="1" applyBorder="1"/>
    <xf numFmtId="4" fontId="2" fillId="0" borderId="10" xfId="0" applyNumberFormat="1" applyFont="1" applyBorder="1"/>
    <xf numFmtId="0" fontId="2" fillId="0" borderId="0" xfId="0" applyFont="1" applyFill="1" applyBorder="1"/>
    <xf numFmtId="10" fontId="2" fillId="0" borderId="0" xfId="0" applyNumberFormat="1" applyFont="1"/>
    <xf numFmtId="164" fontId="2" fillId="0" borderId="0" xfId="0" applyNumberFormat="1" applyFont="1" applyBorder="1"/>
    <xf numFmtId="2" fontId="2" fillId="0" borderId="0" xfId="0" applyNumberFormat="1" applyFont="1"/>
    <xf numFmtId="9" fontId="2" fillId="0" borderId="0" xfId="1" applyFont="1"/>
    <xf numFmtId="0" fontId="5" fillId="0" borderId="0" xfId="0" applyFont="1"/>
    <xf numFmtId="1" fontId="5" fillId="0" borderId="0" xfId="0" applyNumberFormat="1" applyFont="1"/>
    <xf numFmtId="0" fontId="6" fillId="0" borderId="0" xfId="0" applyFont="1"/>
    <xf numFmtId="4" fontId="6" fillId="0" borderId="0" xfId="0" applyNumberFormat="1" applyFont="1"/>
    <xf numFmtId="4" fontId="7" fillId="0" borderId="0" xfId="0" applyNumberFormat="1" applyFont="1"/>
    <xf numFmtId="4" fontId="2" fillId="0" borderId="0" xfId="0" applyNumberFormat="1" applyFont="1"/>
    <xf numFmtId="4" fontId="5" fillId="0" borderId="0" xfId="0" applyNumberFormat="1" applyFont="1"/>
    <xf numFmtId="4" fontId="8" fillId="0" borderId="0" xfId="0" applyNumberFormat="1" applyFont="1"/>
    <xf numFmtId="166" fontId="2" fillId="0" borderId="0" xfId="0" applyNumberFormat="1" applyFont="1"/>
    <xf numFmtId="4" fontId="9" fillId="0" borderId="0" xfId="0" applyNumberFormat="1" applyFont="1"/>
    <xf numFmtId="165" fontId="5" fillId="0" borderId="0" xfId="0" applyNumberFormat="1" applyFont="1"/>
    <xf numFmtId="0" fontId="2" fillId="0" borderId="4" xfId="0" applyFont="1" applyFill="1" applyBorder="1"/>
    <xf numFmtId="165" fontId="2" fillId="0" borderId="14" xfId="0" applyNumberFormat="1" applyFont="1" applyBorder="1"/>
    <xf numFmtId="0" fontId="2" fillId="0" borderId="4" xfId="0" applyFont="1" applyBorder="1"/>
    <xf numFmtId="0" fontId="7" fillId="0" borderId="5" xfId="0" applyFont="1" applyBorder="1"/>
    <xf numFmtId="9" fontId="7" fillId="0" borderId="15" xfId="1" applyFont="1" applyBorder="1"/>
    <xf numFmtId="164" fontId="7" fillId="0" borderId="15" xfId="0" applyNumberFormat="1" applyFont="1" applyBorder="1"/>
    <xf numFmtId="165" fontId="7" fillId="0" borderId="16" xfId="0" applyNumberFormat="1" applyFont="1" applyBorder="1"/>
    <xf numFmtId="0" fontId="2" fillId="0" borderId="5" xfId="0" applyFont="1" applyBorder="1"/>
    <xf numFmtId="164" fontId="2" fillId="0" borderId="15" xfId="0" applyNumberFormat="1" applyFont="1" applyBorder="1"/>
    <xf numFmtId="165" fontId="2" fillId="0" borderId="16" xfId="0" applyNumberFormat="1" applyFont="1" applyBorder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167" fontId="2" fillId="0" borderId="0" xfId="1" applyNumberFormat="1" applyFont="1" applyBorder="1"/>
    <xf numFmtId="167" fontId="2" fillId="0" borderId="15" xfId="1" applyNumberFormat="1" applyFont="1" applyBorder="1"/>
    <xf numFmtId="9" fontId="2" fillId="0" borderId="22" xfId="0" applyNumberFormat="1" applyFont="1" applyBorder="1"/>
    <xf numFmtId="168" fontId="2" fillId="0" borderId="13" xfId="0" applyNumberFormat="1" applyFont="1" applyBorder="1"/>
    <xf numFmtId="169" fontId="2" fillId="0" borderId="0" xfId="0" applyNumberFormat="1" applyFont="1" applyBorder="1"/>
    <xf numFmtId="0" fontId="2" fillId="0" borderId="23" xfId="0" applyFont="1" applyBorder="1"/>
    <xf numFmtId="168" fontId="2" fillId="0" borderId="24" xfId="0" applyNumberFormat="1" applyFont="1" applyBorder="1"/>
    <xf numFmtId="169" fontId="2" fillId="0" borderId="14" xfId="0" applyNumberFormat="1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168" fontId="2" fillId="0" borderId="0" xfId="0" applyNumberFormat="1" applyFont="1"/>
    <xf numFmtId="0" fontId="2" fillId="0" borderId="20" xfId="0" applyFont="1" applyBorder="1" applyAlignment="1"/>
    <xf numFmtId="10" fontId="2" fillId="0" borderId="22" xfId="0" applyNumberFormat="1" applyFont="1" applyBorder="1"/>
    <xf numFmtId="9" fontId="2" fillId="0" borderId="22" xfId="1" applyFont="1" applyBorder="1"/>
    <xf numFmtId="168" fontId="2" fillId="0" borderId="2" xfId="0" applyNumberFormat="1" applyFont="1" applyBorder="1"/>
    <xf numFmtId="168" fontId="2" fillId="0" borderId="3" xfId="0" applyNumberFormat="1" applyFont="1" applyBorder="1"/>
    <xf numFmtId="0" fontId="2" fillId="0" borderId="15" xfId="0" applyFont="1" applyBorder="1"/>
    <xf numFmtId="1" fontId="2" fillId="0" borderId="15" xfId="0" applyNumberFormat="1" applyFont="1" applyBorder="1"/>
    <xf numFmtId="1" fontId="2" fillId="0" borderId="16" xfId="0" applyNumberFormat="1" applyFont="1" applyBorder="1"/>
    <xf numFmtId="168" fontId="2" fillId="0" borderId="12" xfId="0" applyNumberFormat="1" applyFont="1" applyBorder="1"/>
    <xf numFmtId="168" fontId="2" fillId="0" borderId="15" xfId="0" applyNumberFormat="1" applyFont="1" applyBorder="1"/>
    <xf numFmtId="168" fontId="2" fillId="0" borderId="16" xfId="0" applyNumberFormat="1" applyFont="1" applyBorder="1"/>
    <xf numFmtId="0" fontId="2" fillId="0" borderId="1" xfId="0" applyFont="1" applyBorder="1"/>
    <xf numFmtId="168" fontId="2" fillId="0" borderId="0" xfId="0" applyNumberFormat="1" applyFont="1" applyBorder="1"/>
    <xf numFmtId="168" fontId="2" fillId="0" borderId="14" xfId="0" applyNumberFormat="1" applyFont="1" applyBorder="1"/>
    <xf numFmtId="0" fontId="2" fillId="0" borderId="25" xfId="0" applyFont="1" applyBorder="1"/>
    <xf numFmtId="168" fontId="2" fillId="0" borderId="26" xfId="0" applyNumberFormat="1" applyFont="1" applyBorder="1"/>
    <xf numFmtId="6" fontId="2" fillId="0" borderId="0" xfId="0" applyNumberFormat="1" applyFont="1"/>
    <xf numFmtId="1" fontId="2" fillId="0" borderId="0" xfId="0" applyNumberFormat="1" applyFont="1"/>
    <xf numFmtId="0" fontId="2" fillId="0" borderId="1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 applyAlignment="1">
      <alignment horizontal="center"/>
    </xf>
    <xf numFmtId="168" fontId="2" fillId="0" borderId="28" xfId="0" applyNumberFormat="1" applyFont="1" applyBorder="1"/>
    <xf numFmtId="168" fontId="2" fillId="0" borderId="29" xfId="0" applyNumberFormat="1" applyFont="1" applyBorder="1"/>
    <xf numFmtId="0" fontId="2" fillId="0" borderId="0" xfId="0" applyFont="1" applyFill="1"/>
    <xf numFmtId="0" fontId="2" fillId="0" borderId="0" xfId="0" applyFont="1" applyBorder="1"/>
    <xf numFmtId="4" fontId="2" fillId="0" borderId="0" xfId="0" applyNumberFormat="1" applyFont="1" applyBorder="1"/>
    <xf numFmtId="4" fontId="5" fillId="0" borderId="0" xfId="0" applyNumberFormat="1" applyFont="1" applyBorder="1"/>
    <xf numFmtId="0" fontId="2" fillId="5" borderId="20" xfId="0" applyFont="1" applyFill="1" applyBorder="1"/>
    <xf numFmtId="0" fontId="2" fillId="5" borderId="21" xfId="0" applyFont="1" applyFill="1" applyBorder="1" applyAlignment="1">
      <alignment horizontal="center"/>
    </xf>
    <xf numFmtId="168" fontId="2" fillId="5" borderId="21" xfId="0" applyNumberFormat="1" applyFont="1" applyFill="1" applyBorder="1"/>
    <xf numFmtId="168" fontId="2" fillId="5" borderId="22" xfId="0" applyNumberFormat="1" applyFont="1" applyFill="1" applyBorder="1"/>
    <xf numFmtId="0" fontId="2" fillId="6" borderId="5" xfId="0" applyFont="1" applyFill="1" applyBorder="1"/>
    <xf numFmtId="0" fontId="2" fillId="6" borderId="15" xfId="0" applyFont="1" applyFill="1" applyBorder="1" applyAlignment="1">
      <alignment horizontal="center"/>
    </xf>
    <xf numFmtId="168" fontId="2" fillId="6" borderId="15" xfId="0" applyNumberFormat="1" applyFont="1" applyFill="1" applyBorder="1"/>
    <xf numFmtId="168" fontId="2" fillId="6" borderId="16" xfId="0" applyNumberFormat="1" applyFont="1" applyFill="1" applyBorder="1"/>
    <xf numFmtId="0" fontId="11" fillId="7" borderId="20" xfId="0" applyFont="1" applyFill="1" applyBorder="1"/>
    <xf numFmtId="0" fontId="11" fillId="7" borderId="21" xfId="0" applyFont="1" applyFill="1" applyBorder="1"/>
    <xf numFmtId="0" fontId="11" fillId="7" borderId="22" xfId="0" applyFont="1" applyFill="1" applyBorder="1"/>
    <xf numFmtId="0" fontId="2" fillId="5" borderId="1" xfId="0" applyFont="1" applyFill="1" applyBorder="1"/>
    <xf numFmtId="0" fontId="2" fillId="5" borderId="2" xfId="0" applyFont="1" applyFill="1" applyBorder="1" applyAlignment="1">
      <alignment horizontal="center"/>
    </xf>
    <xf numFmtId="168" fontId="2" fillId="5" borderId="2" xfId="0" applyNumberFormat="1" applyFont="1" applyFill="1" applyBorder="1"/>
    <xf numFmtId="168" fontId="2" fillId="5" borderId="3" xfId="0" applyNumberFormat="1" applyFont="1" applyFill="1" applyBorder="1"/>
    <xf numFmtId="0" fontId="7" fillId="7" borderId="27" xfId="0" applyFont="1" applyFill="1" applyBorder="1"/>
    <xf numFmtId="0" fontId="7" fillId="7" borderId="28" xfId="0" applyFont="1" applyFill="1" applyBorder="1" applyAlignment="1">
      <alignment horizontal="center"/>
    </xf>
    <xf numFmtId="168" fontId="7" fillId="7" borderId="28" xfId="0" applyNumberFormat="1" applyFont="1" applyFill="1" applyBorder="1"/>
    <xf numFmtId="168" fontId="7" fillId="7" borderId="29" xfId="0" applyNumberFormat="1" applyFont="1" applyFill="1" applyBorder="1"/>
    <xf numFmtId="0" fontId="2" fillId="6" borderId="4" xfId="0" applyFont="1" applyFill="1" applyBorder="1"/>
    <xf numFmtId="0" fontId="2" fillId="6" borderId="0" xfId="0" applyFont="1" applyFill="1" applyBorder="1" applyAlignment="1">
      <alignment horizontal="center"/>
    </xf>
    <xf numFmtId="0" fontId="2" fillId="6" borderId="0" xfId="0" applyFont="1" applyFill="1" applyBorder="1"/>
    <xf numFmtId="168" fontId="2" fillId="6" borderId="0" xfId="0" applyNumberFormat="1" applyFont="1" applyFill="1" applyBorder="1"/>
    <xf numFmtId="168" fontId="2" fillId="6" borderId="14" xfId="0" applyNumberFormat="1" applyFont="1" applyFill="1" applyBorder="1"/>
    <xf numFmtId="0" fontId="12" fillId="4" borderId="1" xfId="0" applyFont="1" applyFill="1" applyBorder="1"/>
    <xf numFmtId="168" fontId="12" fillId="4" borderId="3" xfId="0" applyNumberFormat="1" applyFont="1" applyFill="1" applyBorder="1"/>
    <xf numFmtId="0" fontId="12" fillId="4" borderId="4" xfId="0" applyFont="1" applyFill="1" applyBorder="1"/>
    <xf numFmtId="6" fontId="12" fillId="4" borderId="14" xfId="0" applyNumberFormat="1" applyFont="1" applyFill="1" applyBorder="1"/>
    <xf numFmtId="0" fontId="2" fillId="5" borderId="5" xfId="0" applyFont="1" applyFill="1" applyBorder="1"/>
    <xf numFmtId="9" fontId="2" fillId="5" borderId="16" xfId="1" applyFont="1" applyFill="1" applyBorder="1"/>
    <xf numFmtId="0" fontId="2" fillId="0" borderId="13" xfId="0" applyFont="1" applyBorder="1"/>
    <xf numFmtId="0" fontId="2" fillId="0" borderId="12" xfId="0" applyFont="1" applyBorder="1"/>
    <xf numFmtId="168" fontId="2" fillId="5" borderId="15" xfId="0" applyNumberFormat="1" applyFont="1" applyFill="1" applyBorder="1"/>
    <xf numFmtId="168" fontId="2" fillId="5" borderId="16" xfId="0" applyNumberFormat="1" applyFont="1" applyFill="1" applyBorder="1"/>
    <xf numFmtId="41" fontId="2" fillId="0" borderId="0" xfId="2" applyNumberFormat="1" applyFont="1"/>
    <xf numFmtId="0" fontId="13" fillId="7" borderId="20" xfId="0" applyFont="1" applyFill="1" applyBorder="1"/>
    <xf numFmtId="0" fontId="13" fillId="7" borderId="21" xfId="0" applyFont="1" applyFill="1" applyBorder="1"/>
    <xf numFmtId="0" fontId="13" fillId="7" borderId="22" xfId="0" applyFont="1" applyFill="1" applyBorder="1"/>
    <xf numFmtId="0" fontId="2" fillId="6" borderId="25" xfId="0" applyFont="1" applyFill="1" applyBorder="1"/>
    <xf numFmtId="168" fontId="2" fillId="6" borderId="12" xfId="0" applyNumberFormat="1" applyFont="1" applyFill="1" applyBorder="1"/>
    <xf numFmtId="168" fontId="2" fillId="6" borderId="26" xfId="0" applyNumberFormat="1" applyFont="1" applyFill="1" applyBorder="1"/>
    <xf numFmtId="0" fontId="2" fillId="0" borderId="0" xfId="0" applyFont="1" applyFill="1" applyBorder="1" applyAlignment="1">
      <alignment horizontal="center"/>
    </xf>
    <xf numFmtId="168" fontId="2" fillId="0" borderId="0" xfId="0" applyNumberFormat="1" applyFont="1" applyFill="1" applyBorder="1"/>
    <xf numFmtId="0" fontId="7" fillId="5" borderId="20" xfId="0" applyFont="1" applyFill="1" applyBorder="1"/>
    <xf numFmtId="0" fontId="7" fillId="5" borderId="21" xfId="0" applyFont="1" applyFill="1" applyBorder="1" applyAlignment="1">
      <alignment horizontal="center"/>
    </xf>
    <xf numFmtId="168" fontId="7" fillId="5" borderId="21" xfId="0" applyNumberFormat="1" applyFont="1" applyFill="1" applyBorder="1"/>
    <xf numFmtId="168" fontId="7" fillId="5" borderId="22" xfId="0" applyNumberFormat="1" applyFont="1" applyFill="1" applyBorder="1"/>
    <xf numFmtId="0" fontId="2" fillId="8" borderId="6" xfId="0" applyFont="1" applyFill="1" applyBorder="1"/>
    <xf numFmtId="0" fontId="2" fillId="8" borderId="8" xfId="0" applyFont="1" applyFill="1" applyBorder="1"/>
    <xf numFmtId="1" fontId="2" fillId="0" borderId="2" xfId="0" applyNumberFormat="1" applyFont="1" applyBorder="1"/>
    <xf numFmtId="171" fontId="2" fillId="0" borderId="0" xfId="0" applyNumberFormat="1" applyFont="1"/>
    <xf numFmtId="1" fontId="14" fillId="10" borderId="20" xfId="0" applyNumberFormat="1" applyFont="1" applyFill="1" applyBorder="1"/>
    <xf numFmtId="1" fontId="14" fillId="10" borderId="22" xfId="0" applyNumberFormat="1" applyFont="1" applyFill="1" applyBorder="1"/>
    <xf numFmtId="1" fontId="14" fillId="10" borderId="30" xfId="0" applyNumberFormat="1" applyFont="1" applyFill="1" applyBorder="1"/>
    <xf numFmtId="0" fontId="14" fillId="10" borderId="22" xfId="0" applyFont="1" applyFill="1" applyBorder="1"/>
    <xf numFmtId="9" fontId="2" fillId="11" borderId="1" xfId="1" applyFont="1" applyFill="1" applyBorder="1"/>
    <xf numFmtId="9" fontId="2" fillId="11" borderId="4" xfId="1" applyFont="1" applyFill="1" applyBorder="1"/>
    <xf numFmtId="9" fontId="2" fillId="11" borderId="25" xfId="1" applyFont="1" applyFill="1" applyBorder="1"/>
    <xf numFmtId="0" fontId="2" fillId="11" borderId="5" xfId="0" applyFont="1" applyFill="1" applyBorder="1"/>
    <xf numFmtId="1" fontId="2" fillId="9" borderId="3" xfId="0" applyNumberFormat="1" applyFont="1" applyFill="1" applyBorder="1"/>
    <xf numFmtId="0" fontId="2" fillId="12" borderId="33" xfId="0" applyFont="1" applyFill="1" applyBorder="1"/>
    <xf numFmtId="1" fontId="2" fillId="12" borderId="31" xfId="0" applyNumberFormat="1" applyFont="1" applyFill="1" applyBorder="1"/>
    <xf numFmtId="1" fontId="2" fillId="12" borderId="33" xfId="0" applyNumberFormat="1" applyFont="1" applyFill="1" applyBorder="1"/>
    <xf numFmtId="0" fontId="2" fillId="11" borderId="25" xfId="0" applyFont="1" applyFill="1" applyBorder="1"/>
    <xf numFmtId="0" fontId="2" fillId="11" borderId="4" xfId="0" applyFont="1" applyFill="1" applyBorder="1"/>
    <xf numFmtId="1" fontId="2" fillId="12" borderId="34" xfId="0" applyNumberFormat="1" applyFont="1" applyFill="1" applyBorder="1"/>
    <xf numFmtId="1" fontId="2" fillId="12" borderId="32" xfId="0" applyNumberFormat="1" applyFont="1" applyFill="1" applyBorder="1"/>
    <xf numFmtId="0" fontId="7" fillId="9" borderId="14" xfId="0" applyFont="1" applyFill="1" applyBorder="1"/>
    <xf numFmtId="170" fontId="7" fillId="9" borderId="26" xfId="0" applyNumberFormat="1" applyFont="1" applyFill="1" applyBorder="1"/>
    <xf numFmtId="1" fontId="7" fillId="9" borderId="14" xfId="0" applyNumberFormat="1" applyFont="1" applyFill="1" applyBorder="1"/>
    <xf numFmtId="172" fontId="7" fillId="9" borderId="14" xfId="2" applyNumberFormat="1" applyFont="1" applyFill="1" applyBorder="1"/>
    <xf numFmtId="172" fontId="7" fillId="9" borderId="26" xfId="2" applyNumberFormat="1" applyFont="1" applyFill="1" applyBorder="1"/>
    <xf numFmtId="172" fontId="7" fillId="9" borderId="16" xfId="2" applyNumberFormat="1" applyFont="1" applyFill="1" applyBorder="1"/>
    <xf numFmtId="1" fontId="7" fillId="9" borderId="3" xfId="0" applyNumberFormat="1" applyFont="1" applyFill="1" applyBorder="1"/>
    <xf numFmtId="1" fontId="7" fillId="9" borderId="26" xfId="0" applyNumberFormat="1" applyFont="1" applyFill="1" applyBorder="1"/>
    <xf numFmtId="0" fontId="7" fillId="9" borderId="0" xfId="0" applyFont="1" applyFill="1" applyBorder="1"/>
    <xf numFmtId="0" fontId="7" fillId="9" borderId="12" xfId="0" applyFont="1" applyFill="1" applyBorder="1"/>
    <xf numFmtId="1" fontId="7" fillId="9" borderId="14" xfId="1" applyNumberFormat="1" applyFont="1" applyFill="1" applyBorder="1"/>
    <xf numFmtId="1" fontId="7" fillId="9" borderId="26" xfId="1" applyNumberFormat="1" applyFont="1" applyFill="1" applyBorder="1"/>
    <xf numFmtId="1" fontId="7" fillId="9" borderId="16" xfId="0" applyNumberFormat="1" applyFont="1" applyFill="1" applyBorder="1"/>
    <xf numFmtId="170" fontId="2" fillId="0" borderId="0" xfId="0" applyNumberFormat="1" applyFont="1" applyBorder="1" applyAlignment="1">
      <alignment horizontal="right"/>
    </xf>
    <xf numFmtId="170" fontId="2" fillId="0" borderId="12" xfId="0" applyNumberFormat="1" applyFont="1" applyBorder="1" applyAlignment="1">
      <alignment horizontal="right"/>
    </xf>
    <xf numFmtId="1" fontId="2" fillId="0" borderId="0" xfId="0" applyNumberFormat="1" applyFont="1" applyBorder="1" applyAlignment="1">
      <alignment horizontal="right"/>
    </xf>
    <xf numFmtId="172" fontId="2" fillId="0" borderId="0" xfId="2" applyNumberFormat="1" applyFont="1" applyBorder="1" applyAlignment="1">
      <alignment horizontal="right"/>
    </xf>
    <xf numFmtId="172" fontId="2" fillId="0" borderId="12" xfId="2" applyNumberFormat="1" applyFont="1" applyBorder="1" applyAlignment="1">
      <alignment horizontal="right"/>
    </xf>
    <xf numFmtId="172" fontId="2" fillId="0" borderId="12" xfId="0" applyNumberFormat="1" applyFont="1" applyBorder="1" applyAlignment="1">
      <alignment horizontal="right"/>
    </xf>
    <xf numFmtId="168" fontId="2" fillId="0" borderId="12" xfId="0" applyNumberFormat="1" applyFont="1" applyBorder="1" applyAlignment="1">
      <alignment horizontal="right"/>
    </xf>
    <xf numFmtId="172" fontId="2" fillId="0" borderId="12" xfId="0" applyNumberFormat="1" applyFont="1" applyFill="1" applyBorder="1" applyAlignment="1">
      <alignment horizontal="right"/>
    </xf>
    <xf numFmtId="168" fontId="2" fillId="0" borderId="12" xfId="0" applyNumberFormat="1" applyFont="1" applyFill="1" applyBorder="1" applyAlignment="1">
      <alignment horizontal="right"/>
    </xf>
    <xf numFmtId="172" fontId="2" fillId="0" borderId="15" xfId="0" applyNumberFormat="1" applyFont="1" applyBorder="1" applyAlignment="1">
      <alignment horizontal="right"/>
    </xf>
    <xf numFmtId="168" fontId="2" fillId="0" borderId="15" xfId="0" applyNumberFormat="1" applyFont="1" applyBorder="1" applyAlignment="1">
      <alignment horizontal="right"/>
    </xf>
    <xf numFmtId="9" fontId="2" fillId="0" borderId="0" xfId="1" applyFont="1" applyFill="1" applyBorder="1"/>
    <xf numFmtId="1" fontId="7" fillId="0" borderId="0" xfId="0" applyNumberFormat="1" applyFont="1" applyFill="1" applyBorder="1"/>
    <xf numFmtId="1" fontId="7" fillId="0" borderId="0" xfId="1" applyNumberFormat="1" applyFont="1" applyFill="1" applyBorder="1"/>
    <xf numFmtId="0" fontId="7" fillId="0" borderId="0" xfId="0" applyFont="1" applyFill="1" applyBorder="1"/>
    <xf numFmtId="9" fontId="12" fillId="4" borderId="14" xfId="0" applyNumberFormat="1" applyFont="1" applyFill="1" applyBorder="1"/>
    <xf numFmtId="1" fontId="2" fillId="0" borderId="14" xfId="0" applyNumberFormat="1" applyFont="1" applyBorder="1"/>
    <xf numFmtId="3" fontId="2" fillId="0" borderId="4" xfId="0" applyNumberFormat="1" applyFont="1" applyBorder="1"/>
    <xf numFmtId="0" fontId="2" fillId="0" borderId="14" xfId="0" applyFont="1" applyBorder="1"/>
    <xf numFmtId="3" fontId="2" fillId="0" borderId="5" xfId="0" applyNumberFormat="1" applyFont="1" applyBorder="1"/>
    <xf numFmtId="0" fontId="2" fillId="0" borderId="16" xfId="0" applyFont="1" applyBorder="1"/>
    <xf numFmtId="0" fontId="2" fillId="0" borderId="35" xfId="0" applyFont="1" applyBorder="1"/>
    <xf numFmtId="1" fontId="2" fillId="0" borderId="36" xfId="0" applyNumberFormat="1" applyFont="1" applyBorder="1"/>
    <xf numFmtId="0" fontId="2" fillId="0" borderId="0" xfId="0" applyFont="1" applyBorder="1" applyAlignment="1">
      <alignment wrapText="1"/>
    </xf>
    <xf numFmtId="9" fontId="2" fillId="0" borderId="14" xfId="1" applyFont="1" applyBorder="1"/>
    <xf numFmtId="9" fontId="2" fillId="0" borderId="16" xfId="1" applyFont="1" applyBorder="1"/>
    <xf numFmtId="172" fontId="2" fillId="0" borderId="25" xfId="2" applyNumberFormat="1" applyFont="1" applyBorder="1"/>
    <xf numFmtId="172" fontId="2" fillId="0" borderId="38" xfId="2" applyNumberFormat="1" applyFont="1" applyBorder="1"/>
    <xf numFmtId="3" fontId="2" fillId="0" borderId="37" xfId="0" applyNumberFormat="1" applyFont="1" applyBorder="1"/>
    <xf numFmtId="3" fontId="2" fillId="0" borderId="41" xfId="0" applyNumberFormat="1" applyFont="1" applyBorder="1"/>
    <xf numFmtId="3" fontId="2" fillId="0" borderId="42" xfId="0" applyNumberFormat="1" applyFont="1" applyBorder="1"/>
    <xf numFmtId="0" fontId="2" fillId="7" borderId="20" xfId="0" applyFont="1" applyFill="1" applyBorder="1"/>
    <xf numFmtId="0" fontId="2" fillId="7" borderId="21" xfId="0" applyFont="1" applyFill="1" applyBorder="1"/>
    <xf numFmtId="0" fontId="2" fillId="7" borderId="22" xfId="0" applyFont="1" applyFill="1" applyBorder="1"/>
    <xf numFmtId="168" fontId="2" fillId="0" borderId="21" xfId="0" applyNumberFormat="1" applyFont="1" applyBorder="1"/>
    <xf numFmtId="168" fontId="2" fillId="0" borderId="22" xfId="0" applyNumberFormat="1" applyFont="1" applyBorder="1"/>
    <xf numFmtId="0" fontId="2" fillId="3" borderId="43" xfId="0" applyFont="1" applyFill="1" applyBorder="1"/>
    <xf numFmtId="4" fontId="2" fillId="0" borderId="43" xfId="0" applyNumberFormat="1" applyFont="1" applyFill="1" applyBorder="1"/>
    <xf numFmtId="0" fontId="2" fillId="0" borderId="44" xfId="0" applyFont="1" applyFill="1" applyBorder="1" applyAlignment="1">
      <alignment horizontal="center"/>
    </xf>
    <xf numFmtId="4" fontId="2" fillId="0" borderId="8" xfId="0" applyNumberFormat="1" applyFont="1" applyFill="1" applyBorder="1"/>
    <xf numFmtId="0" fontId="2" fillId="0" borderId="9" xfId="0" applyFont="1" applyFill="1" applyBorder="1" applyAlignment="1">
      <alignment horizontal="center"/>
    </xf>
    <xf numFmtId="4" fontId="2" fillId="0" borderId="9" xfId="0" applyNumberFormat="1" applyFont="1" applyFill="1" applyBorder="1"/>
    <xf numFmtId="0" fontId="2" fillId="6" borderId="23" xfId="0" applyFont="1" applyFill="1" applyBorder="1"/>
    <xf numFmtId="0" fontId="2" fillId="6" borderId="13" xfId="0" applyFont="1" applyFill="1" applyBorder="1"/>
    <xf numFmtId="168" fontId="2" fillId="6" borderId="13" xfId="0" applyNumberFormat="1" applyFont="1" applyFill="1" applyBorder="1"/>
    <xf numFmtId="168" fontId="2" fillId="6" borderId="24" xfId="0" applyNumberFormat="1" applyFont="1" applyFill="1" applyBorder="1"/>
    <xf numFmtId="0" fontId="2" fillId="5" borderId="27" xfId="0" applyFont="1" applyFill="1" applyBorder="1"/>
    <xf numFmtId="0" fontId="2" fillId="5" borderId="28" xfId="0" applyFont="1" applyFill="1" applyBorder="1"/>
    <xf numFmtId="168" fontId="2" fillId="5" borderId="28" xfId="0" applyNumberFormat="1" applyFont="1" applyFill="1" applyBorder="1"/>
    <xf numFmtId="168" fontId="2" fillId="5" borderId="29" xfId="0" applyNumberFormat="1" applyFont="1" applyFill="1" applyBorder="1"/>
    <xf numFmtId="3" fontId="2" fillId="0" borderId="0" xfId="0" applyNumberFormat="1" applyFont="1" applyBorder="1"/>
    <xf numFmtId="9" fontId="2" fillId="0" borderId="0" xfId="1" applyFont="1" applyBorder="1"/>
    <xf numFmtId="0" fontId="2" fillId="0" borderId="2" xfId="0" applyFont="1" applyBorder="1"/>
    <xf numFmtId="1" fontId="2" fillId="0" borderId="0" xfId="0" applyNumberFormat="1" applyFont="1" applyBorder="1"/>
    <xf numFmtId="173" fontId="2" fillId="0" borderId="0" xfId="0" applyNumberFormat="1" applyFont="1" applyBorder="1" applyAlignment="1">
      <alignment horizontal="right"/>
    </xf>
    <xf numFmtId="173" fontId="2" fillId="0" borderId="12" xfId="0" applyNumberFormat="1" applyFont="1" applyBorder="1" applyAlignment="1">
      <alignment horizontal="right"/>
    </xf>
    <xf numFmtId="173" fontId="2" fillId="0" borderId="15" xfId="0" applyNumberFormat="1" applyFont="1" applyBorder="1" applyAlignment="1">
      <alignment horizontal="right"/>
    </xf>
    <xf numFmtId="0" fontId="2" fillId="12" borderId="32" xfId="0" applyFont="1" applyFill="1" applyBorder="1"/>
    <xf numFmtId="168" fontId="2" fillId="0" borderId="1" xfId="0" applyNumberFormat="1" applyFont="1" applyFill="1" applyBorder="1"/>
    <xf numFmtId="168" fontId="2" fillId="0" borderId="2" xfId="0" applyNumberFormat="1" applyFont="1" applyFill="1" applyBorder="1"/>
    <xf numFmtId="168" fontId="2" fillId="0" borderId="3" xfId="0" applyNumberFormat="1" applyFont="1" applyFill="1" applyBorder="1"/>
    <xf numFmtId="1" fontId="2" fillId="0" borderId="4" xfId="0" applyNumberFormat="1" applyFont="1" applyBorder="1"/>
    <xf numFmtId="173" fontId="2" fillId="0" borderId="4" xfId="0" applyNumberFormat="1" applyFont="1" applyBorder="1" applyAlignment="1">
      <alignment horizontal="right"/>
    </xf>
    <xf numFmtId="173" fontId="2" fillId="0" borderId="14" xfId="0" applyNumberFormat="1" applyFont="1" applyBorder="1" applyAlignment="1">
      <alignment horizontal="right"/>
    </xf>
    <xf numFmtId="173" fontId="2" fillId="0" borderId="25" xfId="0" applyNumberFormat="1" applyFont="1" applyBorder="1" applyAlignment="1">
      <alignment horizontal="right"/>
    </xf>
    <xf numFmtId="173" fontId="2" fillId="0" borderId="26" xfId="0" applyNumberFormat="1" applyFont="1" applyBorder="1" applyAlignment="1">
      <alignment horizontal="right"/>
    </xf>
    <xf numFmtId="168" fontId="2" fillId="0" borderId="4" xfId="0" applyNumberFormat="1" applyFont="1" applyFill="1" applyBorder="1"/>
    <xf numFmtId="168" fontId="2" fillId="0" borderId="14" xfId="0" applyNumberFormat="1" applyFont="1" applyFill="1" applyBorder="1"/>
    <xf numFmtId="1" fontId="2" fillId="0" borderId="4" xfId="0" applyNumberFormat="1" applyFont="1" applyBorder="1" applyAlignment="1">
      <alignment horizontal="right"/>
    </xf>
    <xf numFmtId="1" fontId="2" fillId="0" borderId="14" xfId="0" applyNumberFormat="1" applyFont="1" applyBorder="1" applyAlignment="1">
      <alignment horizontal="right"/>
    </xf>
    <xf numFmtId="173" fontId="2" fillId="0" borderId="5" xfId="0" applyNumberFormat="1" applyFont="1" applyBorder="1" applyAlignment="1">
      <alignment horizontal="right"/>
    </xf>
    <xf numFmtId="173" fontId="2" fillId="0" borderId="16" xfId="0" applyNumberFormat="1" applyFont="1" applyBorder="1" applyAlignment="1">
      <alignment horizontal="right"/>
    </xf>
    <xf numFmtId="9" fontId="2" fillId="0" borderId="0" xfId="0" applyNumberFormat="1" applyFont="1"/>
    <xf numFmtId="0" fontId="10" fillId="0" borderId="0" xfId="0" applyFont="1" applyBorder="1" applyAlignment="1"/>
    <xf numFmtId="0" fontId="7" fillId="0" borderId="0" xfId="0" applyFont="1" applyBorder="1"/>
    <xf numFmtId="165" fontId="2" fillId="0" borderId="0" xfId="0" applyNumberFormat="1" applyFont="1" applyBorder="1"/>
    <xf numFmtId="165" fontId="7" fillId="0" borderId="0" xfId="0" applyNumberFormat="1" applyFont="1" applyBorder="1"/>
    <xf numFmtId="171" fontId="2" fillId="0" borderId="14" xfId="0" applyNumberFormat="1" applyFont="1" applyBorder="1"/>
    <xf numFmtId="171" fontId="2" fillId="0" borderId="16" xfId="0" applyNumberFormat="1" applyFont="1" applyBorder="1"/>
    <xf numFmtId="171" fontId="7" fillId="0" borderId="16" xfId="0" applyNumberFormat="1" applyFont="1" applyBorder="1"/>
    <xf numFmtId="0" fontId="11" fillId="13" borderId="20" xfId="0" applyFont="1" applyFill="1" applyBorder="1"/>
    <xf numFmtId="0" fontId="11" fillId="13" borderId="21" xfId="0" applyFont="1" applyFill="1" applyBorder="1"/>
    <xf numFmtId="0" fontId="11" fillId="13" borderId="22" xfId="0" applyFont="1" applyFill="1" applyBorder="1"/>
    <xf numFmtId="0" fontId="2" fillId="13" borderId="5" xfId="0" applyFont="1" applyFill="1" applyBorder="1"/>
    <xf numFmtId="0" fontId="2" fillId="13" borderId="15" xfId="0" applyFont="1" applyFill="1" applyBorder="1"/>
    <xf numFmtId="0" fontId="2" fillId="13" borderId="16" xfId="0" applyFont="1" applyFill="1" applyBorder="1"/>
    <xf numFmtId="0" fontId="2" fillId="14" borderId="1" xfId="0" applyFont="1" applyFill="1" applyBorder="1"/>
    <xf numFmtId="0" fontId="2" fillId="14" borderId="2" xfId="0" applyFont="1" applyFill="1" applyBorder="1" applyAlignment="1">
      <alignment horizontal="center"/>
    </xf>
    <xf numFmtId="168" fontId="2" fillId="14" borderId="2" xfId="0" applyNumberFormat="1" applyFont="1" applyFill="1" applyBorder="1"/>
    <xf numFmtId="168" fontId="2" fillId="14" borderId="3" xfId="0" applyNumberFormat="1" applyFont="1" applyFill="1" applyBorder="1"/>
    <xf numFmtId="0" fontId="2" fillId="14" borderId="20" xfId="0" applyFont="1" applyFill="1" applyBorder="1"/>
    <xf numFmtId="0" fontId="2" fillId="14" borderId="21" xfId="0" applyFont="1" applyFill="1" applyBorder="1" applyAlignment="1">
      <alignment horizontal="center"/>
    </xf>
    <xf numFmtId="168" fontId="2" fillId="14" borderId="21" xfId="0" applyNumberFormat="1" applyFont="1" applyFill="1" applyBorder="1"/>
    <xf numFmtId="168" fontId="2" fillId="14" borderId="22" xfId="0" applyNumberFormat="1" applyFont="1" applyFill="1" applyBorder="1"/>
    <xf numFmtId="0" fontId="2" fillId="14" borderId="5" xfId="0" applyFont="1" applyFill="1" applyBorder="1"/>
    <xf numFmtId="0" fontId="2" fillId="14" borderId="15" xfId="0" applyFont="1" applyFill="1" applyBorder="1"/>
    <xf numFmtId="168" fontId="2" fillId="14" borderId="15" xfId="0" applyNumberFormat="1" applyFont="1" applyFill="1" applyBorder="1"/>
    <xf numFmtId="168" fontId="2" fillId="14" borderId="16" xfId="0" applyNumberFormat="1" applyFont="1" applyFill="1" applyBorder="1"/>
    <xf numFmtId="0" fontId="2" fillId="15" borderId="5" xfId="0" applyFont="1" applyFill="1" applyBorder="1"/>
    <xf numFmtId="0" fontId="2" fillId="15" borderId="15" xfId="0" applyFont="1" applyFill="1" applyBorder="1"/>
    <xf numFmtId="168" fontId="2" fillId="15" borderId="15" xfId="0" applyNumberFormat="1" applyFont="1" applyFill="1" applyBorder="1"/>
    <xf numFmtId="168" fontId="2" fillId="15" borderId="16" xfId="0" applyNumberFormat="1" applyFont="1" applyFill="1" applyBorder="1"/>
    <xf numFmtId="0" fontId="2" fillId="14" borderId="21" xfId="0" applyFont="1" applyFill="1" applyBorder="1"/>
    <xf numFmtId="168" fontId="2" fillId="0" borderId="18" xfId="0" applyNumberFormat="1" applyFont="1" applyBorder="1"/>
    <xf numFmtId="168" fontId="2" fillId="0" borderId="19" xfId="0" applyNumberFormat="1" applyFont="1" applyBorder="1"/>
    <xf numFmtId="168" fontId="2" fillId="0" borderId="1" xfId="0" applyNumberFormat="1" applyFont="1" applyBorder="1"/>
    <xf numFmtId="168" fontId="2" fillId="0" borderId="23" xfId="0" applyNumberFormat="1" applyFont="1" applyBorder="1"/>
    <xf numFmtId="168" fontId="2" fillId="0" borderId="25" xfId="0" applyNumberFormat="1" applyFont="1" applyBorder="1"/>
    <xf numFmtId="168" fontId="2" fillId="0" borderId="4" xfId="0" applyNumberFormat="1" applyFont="1" applyBorder="1"/>
    <xf numFmtId="168" fontId="2" fillId="15" borderId="35" xfId="0" applyNumberFormat="1" applyFont="1" applyFill="1" applyBorder="1"/>
    <xf numFmtId="168" fontId="2" fillId="15" borderId="45" xfId="0" applyNumberFormat="1" applyFont="1" applyFill="1" applyBorder="1"/>
    <xf numFmtId="168" fontId="2" fillId="15" borderId="36" xfId="0" applyNumberFormat="1" applyFont="1" applyFill="1" applyBorder="1"/>
    <xf numFmtId="0" fontId="12" fillId="16" borderId="1" xfId="0" applyFont="1" applyFill="1" applyBorder="1"/>
    <xf numFmtId="168" fontId="12" fillId="16" borderId="3" xfId="0" applyNumberFormat="1" applyFont="1" applyFill="1" applyBorder="1"/>
    <xf numFmtId="0" fontId="12" fillId="16" borderId="4" xfId="0" applyFont="1" applyFill="1" applyBorder="1"/>
    <xf numFmtId="6" fontId="12" fillId="16" borderId="14" xfId="0" applyNumberFormat="1" applyFont="1" applyFill="1" applyBorder="1"/>
    <xf numFmtId="9" fontId="12" fillId="16" borderId="14" xfId="0" applyNumberFormat="1" applyFont="1" applyFill="1" applyBorder="1"/>
    <xf numFmtId="9" fontId="2" fillId="14" borderId="16" xfId="1" applyFont="1" applyFill="1" applyBorder="1"/>
    <xf numFmtId="168" fontId="7" fillId="13" borderId="5" xfId="0" applyNumberFormat="1" applyFont="1" applyFill="1" applyBorder="1"/>
    <xf numFmtId="168" fontId="7" fillId="13" borderId="15" xfId="0" applyNumberFormat="1" applyFont="1" applyFill="1" applyBorder="1"/>
    <xf numFmtId="168" fontId="7" fillId="13" borderId="16" xfId="0" applyNumberFormat="1" applyFont="1" applyFill="1" applyBorder="1"/>
    <xf numFmtId="168" fontId="6" fillId="0" borderId="0" xfId="0" applyNumberFormat="1" applyFont="1" applyFill="1" applyBorder="1"/>
    <xf numFmtId="0" fontId="0" fillId="0" borderId="2" xfId="0" applyBorder="1"/>
    <xf numFmtId="0" fontId="0" fillId="0" borderId="3" xfId="0" applyBorder="1"/>
    <xf numFmtId="168" fontId="6" fillId="0" borderId="14" xfId="0" applyNumberFormat="1" applyFont="1" applyFill="1" applyBorder="1"/>
    <xf numFmtId="168" fontId="2" fillId="0" borderId="2" xfId="2" applyNumberFormat="1" applyFont="1" applyBorder="1"/>
    <xf numFmtId="168" fontId="2" fillId="0" borderId="3" xfId="2" applyNumberFormat="1" applyFont="1" applyBorder="1"/>
    <xf numFmtId="168" fontId="2" fillId="0" borderId="0" xfId="0" applyNumberFormat="1" applyFont="1" applyBorder="1" applyAlignment="1">
      <alignment horizontal="center" vertical="center"/>
    </xf>
    <xf numFmtId="168" fontId="2" fillId="0" borderId="13" xfId="0" applyNumberFormat="1" applyFont="1" applyBorder="1" applyAlignment="1">
      <alignment horizontal="center" vertical="center"/>
    </xf>
    <xf numFmtId="168" fontId="0" fillId="0" borderId="0" xfId="0" applyNumberFormat="1" applyBorder="1"/>
    <xf numFmtId="168" fontId="0" fillId="0" borderId="14" xfId="0" applyNumberFormat="1" applyBorder="1"/>
    <xf numFmtId="168" fontId="2" fillId="0" borderId="0" xfId="2" applyNumberFormat="1" applyFont="1" applyBorder="1"/>
    <xf numFmtId="168" fontId="2" fillId="0" borderId="14" xfId="2" applyNumberFormat="1" applyFont="1" applyBorder="1"/>
    <xf numFmtId="168" fontId="2" fillId="0" borderId="12" xfId="2" applyNumberFormat="1" applyFont="1" applyBorder="1"/>
    <xf numFmtId="168" fontId="2" fillId="0" borderId="26" xfId="2" applyNumberFormat="1" applyFont="1" applyBorder="1"/>
    <xf numFmtId="168" fontId="2" fillId="0" borderId="15" xfId="2" applyNumberFormat="1" applyFont="1" applyBorder="1"/>
    <xf numFmtId="168" fontId="2" fillId="0" borderId="16" xfId="2" applyNumberFormat="1" applyFont="1" applyBorder="1"/>
    <xf numFmtId="3" fontId="2" fillId="0" borderId="0" xfId="2" applyNumberFormat="1" applyFont="1" applyBorder="1"/>
    <xf numFmtId="3" fontId="2" fillId="0" borderId="14" xfId="2" applyNumberFormat="1" applyFont="1" applyBorder="1"/>
    <xf numFmtId="168" fontId="2" fillId="0" borderId="45" xfId="0" applyNumberFormat="1" applyFont="1" applyBorder="1"/>
    <xf numFmtId="168" fontId="2" fillId="0" borderId="36" xfId="0" applyNumberFormat="1" applyFont="1" applyBorder="1"/>
    <xf numFmtId="3" fontId="0" fillId="0" borderId="0" xfId="0" applyNumberFormat="1"/>
    <xf numFmtId="0" fontId="2" fillId="17" borderId="1" xfId="0" applyFont="1" applyFill="1" applyBorder="1"/>
    <xf numFmtId="4" fontId="2" fillId="17" borderId="2" xfId="0" applyNumberFormat="1" applyFont="1" applyFill="1" applyBorder="1"/>
    <xf numFmtId="168" fontId="2" fillId="17" borderId="2" xfId="0" applyNumberFormat="1" applyFont="1" applyFill="1" applyBorder="1"/>
    <xf numFmtId="168" fontId="2" fillId="17" borderId="3" xfId="0" applyNumberFormat="1" applyFont="1" applyFill="1" applyBorder="1"/>
    <xf numFmtId="0" fontId="2" fillId="14" borderId="35" xfId="0" applyFont="1" applyFill="1" applyBorder="1"/>
    <xf numFmtId="0" fontId="2" fillId="14" borderId="45" xfId="0" applyFont="1" applyFill="1" applyBorder="1"/>
    <xf numFmtId="168" fontId="2" fillId="14" borderId="45" xfId="0" applyNumberFormat="1" applyFont="1" applyFill="1" applyBorder="1"/>
    <xf numFmtId="168" fontId="2" fillId="14" borderId="36" xfId="0" applyNumberFormat="1" applyFont="1" applyFill="1" applyBorder="1"/>
    <xf numFmtId="0" fontId="2" fillId="17" borderId="35" xfId="0" applyFont="1" applyFill="1" applyBorder="1"/>
    <xf numFmtId="0" fontId="2" fillId="17" borderId="45" xfId="0" applyFont="1" applyFill="1" applyBorder="1"/>
    <xf numFmtId="173" fontId="2" fillId="17" borderId="45" xfId="0" applyNumberFormat="1" applyFont="1" applyFill="1" applyBorder="1"/>
    <xf numFmtId="173" fontId="2" fillId="17" borderId="36" xfId="0" applyNumberFormat="1" applyFont="1" applyFill="1" applyBorder="1"/>
    <xf numFmtId="173" fontId="2" fillId="14" borderId="15" xfId="0" applyNumberFormat="1" applyFont="1" applyFill="1" applyBorder="1"/>
    <xf numFmtId="173" fontId="2" fillId="14" borderId="16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 textRotation="90"/>
    </xf>
    <xf numFmtId="0" fontId="2" fillId="8" borderId="4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1" fillId="7" borderId="5" xfId="0" applyFont="1" applyFill="1" applyBorder="1" applyAlignment="1">
      <alignment horizontal="left" vertical="center"/>
    </xf>
    <xf numFmtId="1" fontId="14" fillId="10" borderId="21" xfId="0" applyNumberFormat="1" applyFont="1" applyFill="1" applyBorder="1" applyAlignment="1">
      <alignment horizontal="center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15" fillId="7" borderId="1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168" fontId="13" fillId="0" borderId="23" xfId="0" applyNumberFormat="1" applyFont="1" applyBorder="1" applyAlignment="1">
      <alignment horizontal="center" vertical="center" textRotation="90"/>
    </xf>
    <xf numFmtId="168" fontId="13" fillId="0" borderId="4" xfId="0" applyNumberFormat="1" applyFont="1" applyBorder="1" applyAlignment="1">
      <alignment horizontal="center" vertical="center" textRotation="90"/>
    </xf>
    <xf numFmtId="168" fontId="13" fillId="0" borderId="25" xfId="0" applyNumberFormat="1" applyFont="1" applyBorder="1" applyAlignment="1">
      <alignment horizontal="center" vertical="center" textRotation="90"/>
    </xf>
    <xf numFmtId="168" fontId="13" fillId="0" borderId="5" xfId="0" applyNumberFormat="1" applyFont="1" applyBorder="1" applyAlignment="1">
      <alignment horizontal="center" vertical="center" textRotation="90"/>
    </xf>
    <xf numFmtId="168" fontId="11" fillId="0" borderId="1" xfId="0" applyNumberFormat="1" applyFont="1" applyBorder="1" applyAlignment="1">
      <alignment horizontal="center"/>
    </xf>
    <xf numFmtId="168" fontId="11" fillId="0" borderId="2" xfId="0" applyNumberFormat="1" applyFont="1" applyBorder="1" applyAlignment="1">
      <alignment horizontal="center"/>
    </xf>
    <xf numFmtId="168" fontId="11" fillId="0" borderId="3" xfId="0" applyNumberFormat="1" applyFont="1" applyBorder="1" applyAlignment="1">
      <alignment horizontal="center"/>
    </xf>
    <xf numFmtId="1" fontId="14" fillId="10" borderId="2" xfId="0" applyNumberFormat="1" applyFont="1" applyFill="1" applyBorder="1" applyAlignment="1">
      <alignment horizontal="center"/>
    </xf>
    <xf numFmtId="9" fontId="2" fillId="11" borderId="1" xfId="1" applyFont="1" applyFill="1" applyBorder="1" applyAlignment="1">
      <alignment horizontal="center" vertical="center"/>
    </xf>
    <xf numFmtId="9" fontId="2" fillId="11" borderId="4" xfId="1" applyFont="1" applyFill="1" applyBorder="1" applyAlignment="1">
      <alignment horizontal="center" vertical="center"/>
    </xf>
    <xf numFmtId="9" fontId="2" fillId="11" borderId="25" xfId="1" applyFont="1" applyFill="1" applyBorder="1" applyAlignment="1">
      <alignment horizontal="center" vertical="center"/>
    </xf>
    <xf numFmtId="9" fontId="2" fillId="11" borderId="23" xfId="1" applyFont="1" applyFill="1" applyBorder="1" applyAlignment="1">
      <alignment horizontal="center" vertical="center"/>
    </xf>
    <xf numFmtId="9" fontId="2" fillId="11" borderId="5" xfId="1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72" fontId="7" fillId="9" borderId="24" xfId="2" applyNumberFormat="1" applyFont="1" applyFill="1" applyBorder="1" applyAlignment="1">
      <alignment horizontal="center" vertical="center"/>
    </xf>
    <xf numFmtId="172" fontId="7" fillId="9" borderId="14" xfId="2" applyNumberFormat="1" applyFont="1" applyFill="1" applyBorder="1" applyAlignment="1">
      <alignment horizontal="center" vertical="center"/>
    </xf>
    <xf numFmtId="172" fontId="7" fillId="9" borderId="16" xfId="2" applyNumberFormat="1" applyFont="1" applyFill="1" applyBorder="1" applyAlignment="1">
      <alignment horizontal="center" vertical="center"/>
    </xf>
    <xf numFmtId="170" fontId="7" fillId="9" borderId="3" xfId="0" applyNumberFormat="1" applyFont="1" applyFill="1" applyBorder="1" applyAlignment="1">
      <alignment horizontal="center" vertical="center"/>
    </xf>
    <xf numFmtId="170" fontId="7" fillId="9" borderId="14" xfId="0" applyNumberFormat="1" applyFont="1" applyFill="1" applyBorder="1" applyAlignment="1">
      <alignment horizontal="center" vertical="center"/>
    </xf>
    <xf numFmtId="170" fontId="7" fillId="9" borderId="26" xfId="0" applyNumberFormat="1" applyFont="1" applyFill="1" applyBorder="1" applyAlignment="1">
      <alignment horizontal="center" vertical="center"/>
    </xf>
    <xf numFmtId="172" fontId="7" fillId="9" borderId="24" xfId="2" applyNumberFormat="1" applyFont="1" applyFill="1" applyBorder="1" applyAlignment="1">
      <alignment horizontal="left" vertical="center"/>
    </xf>
    <xf numFmtId="172" fontId="7" fillId="9" borderId="14" xfId="2" applyNumberFormat="1" applyFont="1" applyFill="1" applyBorder="1" applyAlignment="1">
      <alignment horizontal="left" vertical="center"/>
    </xf>
    <xf numFmtId="172" fontId="7" fillId="9" borderId="26" xfId="2" applyNumberFormat="1" applyFont="1" applyFill="1" applyBorder="1" applyAlignment="1">
      <alignment horizontal="left" vertical="center"/>
    </xf>
    <xf numFmtId="172" fontId="7" fillId="9" borderId="26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3" fillId="0" borderId="23" xfId="0" applyFont="1" applyBorder="1" applyAlignment="1">
      <alignment horizontal="center" vertical="center" textRotation="90"/>
    </xf>
    <xf numFmtId="0" fontId="13" fillId="0" borderId="4" xfId="0" applyFont="1" applyBorder="1" applyAlignment="1">
      <alignment horizontal="center" vertical="center" textRotation="90"/>
    </xf>
    <xf numFmtId="0" fontId="13" fillId="0" borderId="25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5" fillId="13" borderId="1" xfId="0" applyFont="1" applyFill="1" applyBorder="1" applyAlignment="1">
      <alignment horizontal="center" vertical="center"/>
    </xf>
    <xf numFmtId="0" fontId="15" fillId="13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textRotation="90"/>
    </xf>
  </cellXfs>
  <cellStyles count="3">
    <cellStyle name="Měna" xfId="2" builtinId="4"/>
    <cellStyle name="Normální" xfId="0" builtinId="0"/>
    <cellStyle name="Procenta" xfId="1" builtinId="5"/>
  </cellStyles>
  <dxfs count="0"/>
  <tableStyles count="0" defaultTableStyle="TableStyleMedium2" defaultPivotStyle="PivotStyleLight16"/>
  <colors>
    <mruColors>
      <color rgb="FFF117E7"/>
      <color rgb="FF3FF766"/>
      <color rgb="FFBB5611"/>
      <color rgb="FFC78FFF"/>
      <color rgb="FFE4C9FF"/>
      <color rgb="FFF2E5FF"/>
      <color rgb="FFFFB3B3"/>
      <color rgb="FFC5D8FF"/>
      <color rgb="FFBFEFBF"/>
      <color rgb="FFFFE0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6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Struktura nákladů na jeden mycí cyklus - rok 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6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view3D>
      <c:rotX val="30"/>
      <c:rotY val="139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rgbClr val="FF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rgbClr val="FFFF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bg1">
                  <a:lumMod val="5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tx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rgbClr val="00B0F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rgbClr val="7030A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3533371184389428E-2"/>
                  <c:y val="5.3278752680765802E-3"/>
                </c:manualLayout>
              </c:layout>
              <c:tx>
                <c:rich>
                  <a:bodyPr/>
                  <a:lstStyle/>
                  <a:p>
                    <a:fld id="{0A0A8BD8-D707-4680-AA1C-2619C3C50389}" type="PERCENTAGE">
                      <a:rPr lang="en-US"/>
                      <a:pPr/>
                      <a:t>[PROCENTO]</a:t>
                    </a:fld>
                    <a:endParaRPr lang="cs-CZ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'Mini SWASH II - Náklady'!$H$4:$H$15</c:f>
              <c:strCache>
                <c:ptCount val="12"/>
                <c:pt idx="0">
                  <c:v>Odpis</c:v>
                </c:pt>
                <c:pt idx="1">
                  <c:v>Elektrická energie</c:v>
                </c:pt>
                <c:pt idx="2">
                  <c:v>Stlačený vzduch</c:v>
                </c:pt>
                <c:pt idx="3">
                  <c:v>Mycí prostředek</c:v>
                </c:pt>
                <c:pt idx="4">
                  <c:v>Výměna mycího prostředku</c:v>
                </c:pt>
                <c:pt idx="5">
                  <c:v>Likvidace mycího prostředku</c:v>
                </c:pt>
                <c:pt idx="6">
                  <c:v>Kohoutková voda</c:v>
                </c:pt>
                <c:pt idx="7">
                  <c:v>Výměna kohoutkové vody</c:v>
                </c:pt>
                <c:pt idx="8">
                  <c:v>Likvidace kohoutkové vody</c:v>
                </c:pt>
                <c:pt idx="9">
                  <c:v>Mzdové náklady</c:v>
                </c:pt>
                <c:pt idx="10">
                  <c:v>Spotřební materiál</c:v>
                </c:pt>
                <c:pt idx="11">
                  <c:v>Revize a servis zařízení</c:v>
                </c:pt>
              </c:strCache>
            </c:strRef>
          </c:cat>
          <c:val>
            <c:numRef>
              <c:f>'Mini SWASH II - Náklady'!$I$4:$I$15</c:f>
              <c:numCache>
                <c:formatCode>0.000%</c:formatCode>
                <c:ptCount val="12"/>
                <c:pt idx="0">
                  <c:v>0.10059672056648089</c:v>
                </c:pt>
                <c:pt idx="1">
                  <c:v>5.5044411788565655E-3</c:v>
                </c:pt>
                <c:pt idx="2">
                  <c:v>2.2017764715426266E-5</c:v>
                </c:pt>
                <c:pt idx="3">
                  <c:v>6.4879013361456045E-2</c:v>
                </c:pt>
                <c:pt idx="4">
                  <c:v>3.2179990627282204E-2</c:v>
                </c:pt>
                <c:pt idx="5">
                  <c:v>3.6402704329504751E-3</c:v>
                </c:pt>
                <c:pt idx="6">
                  <c:v>2.9357019620568354E-5</c:v>
                </c:pt>
                <c:pt idx="7">
                  <c:v>1.937563294957511E-5</c:v>
                </c:pt>
                <c:pt idx="8">
                  <c:v>3.2292721582625186E-3</c:v>
                </c:pt>
                <c:pt idx="9">
                  <c:v>0.6262830852387915</c:v>
                </c:pt>
                <c:pt idx="10">
                  <c:v>0.13621657103943713</c:v>
                </c:pt>
                <c:pt idx="11">
                  <c:v>2.7399884979197129E-2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6"/>
        <c:delete val="1"/>
      </c:legendEntry>
      <c:legendEntry>
        <c:idx val="7"/>
        <c:delete val="1"/>
      </c:legendEntry>
      <c:layout>
        <c:manualLayout>
          <c:xMode val="edge"/>
          <c:yMode val="edge"/>
          <c:x val="0.73706191137872468"/>
          <c:y val="0.20545702164962976"/>
          <c:w val="0.25028786724240121"/>
          <c:h val="0.74180272694541416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5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Závoslost NPV na ceně za jeden mycí cyklus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25400">
                <a:solidFill>
                  <a:srgbClr val="7030A0"/>
                </a:solidFill>
              </a:ln>
              <a:effectLst/>
            </c:spPr>
          </c:marker>
          <c:trendline>
            <c:spPr>
              <a:ln w="15875" cap="rnd">
                <a:solidFill>
                  <a:srgbClr val="7030A0"/>
                </a:solidFill>
                <a:prstDash val="solid"/>
              </a:ln>
              <a:effectLst/>
            </c:spPr>
            <c:trendlineType val="linear"/>
            <c:forward val="400"/>
            <c:backward val="550"/>
            <c:dispRSqr val="0"/>
            <c:dispEq val="0"/>
          </c:trendline>
          <c:xVal>
            <c:numRef>
              <c:f>'Mini SWASH II - Kalkulace P1'!$P$8:$P$9</c:f>
              <c:numCache>
                <c:formatCode>General</c:formatCode>
                <c:ptCount val="2"/>
                <c:pt idx="0">
                  <c:v>557</c:v>
                </c:pt>
                <c:pt idx="1">
                  <c:v>609</c:v>
                </c:pt>
              </c:numCache>
            </c:numRef>
          </c:xVal>
          <c:yVal>
            <c:numRef>
              <c:f>'Mini SWASH II - Kalkulace P1'!$Q$8:$Q$9</c:f>
              <c:numCache>
                <c:formatCode>0</c:formatCode>
                <c:ptCount val="2"/>
                <c:pt idx="0">
                  <c:v>0</c:v>
                </c:pt>
                <c:pt idx="1">
                  <c:v>684.70437609571104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4836088"/>
        <c:axId val="324836872"/>
      </c:scatterChart>
      <c:valAx>
        <c:axId val="32483608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Cena za cyklus [Kč]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4836872"/>
        <c:crosses val="autoZero"/>
        <c:crossBetween val="midCat"/>
      </c:valAx>
      <c:valAx>
        <c:axId val="32483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NPV [tis. 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4836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5400000" scaled="1"/>
      <a:tileRect/>
    </a:gradFill>
    <a:ln w="9525" cap="rnd" cmpd="dbl" algn="ctr">
      <a:noFill/>
      <a:round/>
    </a:ln>
    <a:effectLst/>
  </c:spPr>
  <c:txPr>
    <a:bodyPr/>
    <a:lstStyle/>
    <a:p>
      <a:pPr>
        <a:defRPr sz="1100" b="1">
          <a:solidFill>
            <a:schemeClr val="tx1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Doba návratnosti investice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3994112398481207"/>
          <c:y val="0.10774146695715323"/>
          <c:w val="0.80599701712223937"/>
          <c:h val="0.69841959088302552"/>
        </c:manualLayout>
      </c:layout>
      <c:scatterChart>
        <c:scatterStyle val="smoothMarker"/>
        <c:varyColors val="0"/>
        <c:ser>
          <c:idx val="0"/>
          <c:order val="0"/>
          <c:tx>
            <c:v>Kapitálový výdaj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'Mini SWASH II - Kalkulace P1'!$D$3:$M$3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 P1'!$D$55:$M$55</c:f>
              <c:numCache>
                <c:formatCode>_(* #,##0_);_(* \(#,##0\);_(* "-"_);_(@_)</c:formatCode>
                <c:ptCount val="10"/>
              </c:numCache>
            </c:numRef>
          </c:yVal>
          <c:smooth val="1"/>
        </c:ser>
        <c:ser>
          <c:idx val="1"/>
          <c:order val="1"/>
          <c:tx>
            <c:v>Kumulovaná hodnota DCF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'Mini SWASH II - Kalkulace P1'!$D$3:$M$3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 P1'!$D$32:$M$32</c:f>
              <c:numCache>
                <c:formatCode>#\ ##0\ "Kč"</c:formatCode>
                <c:ptCount val="10"/>
                <c:pt idx="0">
                  <c:v>-109450.59166665284</c:v>
                </c:pt>
                <c:pt idx="1">
                  <c:v>-144085.66757979267</c:v>
                </c:pt>
                <c:pt idx="2">
                  <c:v>-91214.279124464665</c:v>
                </c:pt>
                <c:pt idx="3">
                  <c:v>45868.718411036913</c:v>
                </c:pt>
                <c:pt idx="4">
                  <c:v>266278.57258617273</c:v>
                </c:pt>
                <c:pt idx="5">
                  <c:v>577647.1330509861</c:v>
                </c:pt>
                <c:pt idx="6">
                  <c:v>846424.05188049306</c:v>
                </c:pt>
                <c:pt idx="7">
                  <c:v>1076708.9781443947</c:v>
                </c:pt>
                <c:pt idx="8">
                  <c:v>1276310.7092979674</c:v>
                </c:pt>
                <c:pt idx="9">
                  <c:v>1444381.12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4839616"/>
        <c:axId val="324838440"/>
      </c:scatterChart>
      <c:valAx>
        <c:axId val="324839616"/>
        <c:scaling>
          <c:orientation val="minMax"/>
          <c:min val="2016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4838440"/>
        <c:crosses val="autoZero"/>
        <c:crossBetween val="midCat"/>
      </c:valAx>
      <c:valAx>
        <c:axId val="324838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Kč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4839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187869196251214"/>
          <c:y val="0.91320022819942714"/>
          <c:w val="0.74877887139107624"/>
          <c:h val="8.425111091840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500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620000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Znázornění bodu zvratu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028084563827772"/>
          <c:y val="9.618684956119275E-2"/>
          <c:w val="0.77523377958499184"/>
          <c:h val="0.74622907296805185"/>
        </c:manualLayout>
      </c:layout>
      <c:scatterChart>
        <c:scatterStyle val="smoothMarker"/>
        <c:varyColors val="0"/>
        <c:ser>
          <c:idx val="0"/>
          <c:order val="0"/>
          <c:tx>
            <c:v>Náklady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'Mini SWASH II - Kalkulace P1'!$D$13:$I$13</c:f>
              <c:numCache>
                <c:formatCode>0</c:formatCode>
                <c:ptCount val="6"/>
                <c:pt idx="0" formatCode="General">
                  <c:v>1250</c:v>
                </c:pt>
                <c:pt idx="1">
                  <c:v>1475</c:v>
                </c:pt>
                <c:pt idx="2">
                  <c:v>1740.5</c:v>
                </c:pt>
                <c:pt idx="3">
                  <c:v>2053.79</c:v>
                </c:pt>
                <c:pt idx="4">
                  <c:v>2423.4722000000002</c:v>
                </c:pt>
                <c:pt idx="5">
                  <c:v>2859.6971960000001</c:v>
                </c:pt>
              </c:numCache>
            </c:numRef>
          </c:xVal>
          <c:yVal>
            <c:numRef>
              <c:f>'Mini SWASH II - Kalkulace P1'!$D$26:$I$26</c:f>
              <c:numCache>
                <c:formatCode>#\ ##0\ "Kč"</c:formatCode>
                <c:ptCount val="6"/>
                <c:pt idx="0">
                  <c:v>949426.09204520006</c:v>
                </c:pt>
                <c:pt idx="1">
                  <c:v>1008737.85513844</c:v>
                </c:pt>
                <c:pt idx="2">
                  <c:v>1063538.4385663192</c:v>
                </c:pt>
                <c:pt idx="3">
                  <c:v>1134567.2133002284</c:v>
                </c:pt>
                <c:pt idx="4">
                  <c:v>1222505.3601572423</c:v>
                </c:pt>
                <c:pt idx="5">
                  <c:v>1318102.2762405435</c:v>
                </c:pt>
              </c:numCache>
            </c:numRef>
          </c:yVal>
          <c:smooth val="1"/>
        </c:ser>
        <c:ser>
          <c:idx val="1"/>
          <c:order val="1"/>
          <c:tx>
            <c:v>Výnosy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'Mini SWASH II - Kalkulace P1'!$D$13:$M$13</c:f>
              <c:numCache>
                <c:formatCode>0</c:formatCode>
                <c:ptCount val="10"/>
                <c:pt idx="0" formatCode="General">
                  <c:v>1250</c:v>
                </c:pt>
                <c:pt idx="1">
                  <c:v>1475</c:v>
                </c:pt>
                <c:pt idx="2">
                  <c:v>1740.5</c:v>
                </c:pt>
                <c:pt idx="3">
                  <c:v>2053.79</c:v>
                </c:pt>
                <c:pt idx="4">
                  <c:v>2423.4722000000002</c:v>
                </c:pt>
                <c:pt idx="5">
                  <c:v>2859.6971960000001</c:v>
                </c:pt>
                <c:pt idx="6">
                  <c:v>2859.6971960000001</c:v>
                </c:pt>
                <c:pt idx="7">
                  <c:v>2859.6971960000001</c:v>
                </c:pt>
                <c:pt idx="8">
                  <c:v>2859.6971960000001</c:v>
                </c:pt>
                <c:pt idx="9">
                  <c:v>2859.6971960000001</c:v>
                </c:pt>
              </c:numCache>
            </c:numRef>
          </c:xVal>
          <c:yVal>
            <c:numRef>
              <c:f>'Mini SWASH II - Kalkulace P1'!$D$15:$M$15</c:f>
              <c:numCache>
                <c:formatCode>#\ ##0\ "Kč"</c:formatCode>
                <c:ptCount val="10"/>
                <c:pt idx="0">
                  <c:v>761778.05304521497</c:v>
                </c:pt>
                <c:pt idx="1">
                  <c:v>898898.10259335372</c:v>
                </c:pt>
                <c:pt idx="2">
                  <c:v>1060699.7610601573</c:v>
                </c:pt>
                <c:pt idx="3">
                  <c:v>1251625.7180509856</c:v>
                </c:pt>
                <c:pt idx="4">
                  <c:v>1476918.3473001632</c:v>
                </c:pt>
                <c:pt idx="5">
                  <c:v>1742763.6498141924</c:v>
                </c:pt>
                <c:pt idx="6">
                  <c:v>1742763.6498141924</c:v>
                </c:pt>
                <c:pt idx="7">
                  <c:v>1742763.6498141924</c:v>
                </c:pt>
                <c:pt idx="8">
                  <c:v>1742763.6498141924</c:v>
                </c:pt>
                <c:pt idx="9">
                  <c:v>1742763.6498141924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681688"/>
        <c:axId val="327687960"/>
      </c:scatterChart>
      <c:valAx>
        <c:axId val="327681688"/>
        <c:scaling>
          <c:orientation val="minMax"/>
          <c:min val="5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algn="ctr"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Počet provedených</a:t>
                </a:r>
                <a:r>
                  <a:rPr lang="cs-CZ" baseline="0"/>
                  <a:t> mycích cyklů </a:t>
                </a:r>
                <a:endParaRPr lang="cs-CZ"/>
              </a:p>
            </c:rich>
          </c:tx>
          <c:layout>
            <c:manualLayout>
              <c:xMode val="edge"/>
              <c:yMode val="edge"/>
              <c:x val="0.39752936244019826"/>
              <c:y val="0.90356042639775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7960"/>
        <c:crosses val="autoZero"/>
        <c:crossBetween val="midCat"/>
      </c:valAx>
      <c:valAx>
        <c:axId val="327687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Výnosy,</a:t>
                </a:r>
                <a:r>
                  <a:rPr lang="cs-CZ" baseline="0"/>
                  <a:t> náklady [</a:t>
                </a:r>
                <a:r>
                  <a:rPr lang="cs-CZ"/>
                  <a:t>Kč]</a:t>
                </a:r>
              </a:p>
            </c:rich>
          </c:tx>
          <c:layout>
            <c:manualLayout>
              <c:xMode val="edge"/>
              <c:yMode val="edge"/>
              <c:x val="1.5916669393442915E-2"/>
              <c:y val="0.31616292413962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1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6750635708013154"/>
          <c:y val="0.93160565850039634"/>
          <c:w val="0.46252735681984919"/>
          <c:h val="6.78093824995644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6200000" scaled="1"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chemeClr val="tx1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Závislost ceny na vývoji počtu mycích cyklů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 w="9525">
                <a:solidFill>
                  <a:schemeClr val="accent6">
                    <a:lumMod val="75000"/>
                  </a:schemeClr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accent6">
                    <a:lumMod val="75000"/>
                  </a:schemeClr>
                </a:solidFill>
                <a:prstDash val="solid"/>
              </a:ln>
              <a:effectLst/>
            </c:spPr>
            <c:trendlineType val="exp"/>
            <c:forward val="0.30000000000000004"/>
            <c:backward val="2.5000000000000005E-2"/>
            <c:dispRSqr val="0"/>
            <c:dispEq val="0"/>
          </c:trendline>
          <c:xVal>
            <c:numRef>
              <c:f>'Mini SWASH II - Kalkulace P1'!$R$13:$R$28</c:f>
              <c:numCache>
                <c:formatCode>0%</c:formatCode>
                <c:ptCount val="16"/>
                <c:pt idx="0">
                  <c:v>0.18</c:v>
                </c:pt>
                <c:pt idx="3">
                  <c:v>0.15</c:v>
                </c:pt>
                <c:pt idx="6">
                  <c:v>0.12</c:v>
                </c:pt>
                <c:pt idx="9">
                  <c:v>0.09</c:v>
                </c:pt>
                <c:pt idx="12">
                  <c:v>0.06</c:v>
                </c:pt>
                <c:pt idx="15">
                  <c:v>0.03</c:v>
                </c:pt>
              </c:numCache>
            </c:numRef>
          </c:xVal>
          <c:yVal>
            <c:numRef>
              <c:f>'Mini SWASH II - Kalkulace P1'!$S$13:$S$28</c:f>
              <c:numCache>
                <c:formatCode>General</c:formatCode>
                <c:ptCount val="16"/>
                <c:pt idx="0" formatCode="0">
                  <c:v>609.20000000000005</c:v>
                </c:pt>
                <c:pt idx="3" formatCode="0">
                  <c:v>648.11240578818422</c:v>
                </c:pt>
                <c:pt idx="6" formatCode="0">
                  <c:v>709.03011275886865</c:v>
                </c:pt>
                <c:pt idx="9" formatCode="0">
                  <c:v>778.92503051872404</c:v>
                </c:pt>
                <c:pt idx="12" formatCode="0">
                  <c:v>859.33781718986211</c:v>
                </c:pt>
                <c:pt idx="15" formatCode="0">
                  <c:v>952.11088165004719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687568"/>
        <c:axId val="327685216"/>
      </c:scatterChart>
      <c:valAx>
        <c:axId val="327687568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Meziroční nárůst počtu mycích cyklů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5216"/>
        <c:crosses val="autoZero"/>
        <c:crossBetween val="midCat"/>
      </c:valAx>
      <c:valAx>
        <c:axId val="32768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Cena za cyklus [Kč]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7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path path="circle">
        <a:fillToRect l="100000" t="100000"/>
      </a:path>
      <a:tileRect r="-100000" b="-100000"/>
    </a:gradFill>
    <a:ln w="9525" cap="flat" cmpd="sng" algn="ctr">
      <a:noFill/>
      <a:round/>
    </a:ln>
    <a:effectLst/>
  </c:spPr>
  <c:txPr>
    <a:bodyPr/>
    <a:lstStyle/>
    <a:p>
      <a:pPr>
        <a:defRPr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Závoslost NPV na počáteční ceně  za jeden mycí cyklus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7030A0">
                  <a:alpha val="0"/>
                </a:srgbClr>
              </a:solidFill>
              <a:ln w="25400">
                <a:solidFill>
                  <a:srgbClr val="7030A0">
                    <a:alpha val="0"/>
                  </a:srgbClr>
                </a:solidFill>
              </a:ln>
              <a:effectLst/>
            </c:spPr>
          </c:marker>
          <c:trendline>
            <c:spPr>
              <a:ln w="15875" cap="rnd">
                <a:solidFill>
                  <a:srgbClr val="7030A0"/>
                </a:solidFill>
                <a:prstDash val="solid"/>
              </a:ln>
              <a:effectLst/>
            </c:spPr>
            <c:trendlineType val="linear"/>
            <c:forward val="390"/>
            <c:backward val="500"/>
            <c:dispRSqr val="0"/>
            <c:dispEq val="0"/>
          </c:trendline>
          <c:xVal>
            <c:numRef>
              <c:f>'Mini SWASH II - Kalkulace'!$Q$8:$Q$10</c:f>
              <c:numCache>
                <c:formatCode>General</c:formatCode>
                <c:ptCount val="3"/>
                <c:pt idx="0" formatCode="0">
                  <c:v>518</c:v>
                </c:pt>
                <c:pt idx="1">
                  <c:v>557</c:v>
                </c:pt>
                <c:pt idx="2">
                  <c:v>597</c:v>
                </c:pt>
              </c:numCache>
            </c:numRef>
          </c:xVal>
          <c:yVal>
            <c:numRef>
              <c:f>'Mini SWASH II - Kalkulace'!$P$8:$P$10</c:f>
              <c:numCache>
                <c:formatCode>#,##0</c:formatCode>
                <c:ptCount val="3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682080"/>
        <c:axId val="327685608"/>
      </c:scatterChart>
      <c:valAx>
        <c:axId val="327682080"/>
        <c:scaling>
          <c:orientation val="minMax"/>
          <c:max val="1000"/>
          <c:min val="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Cena za cyklus [Kč]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5608"/>
        <c:crosses val="autoZero"/>
        <c:crossBetween val="midCat"/>
      </c:valAx>
      <c:valAx>
        <c:axId val="327685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NPV [tis. Kč]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2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5400000" scaled="1"/>
      <a:tileRect/>
    </a:gradFill>
    <a:ln w="9525" cap="rnd" cmpd="dbl" algn="ctr">
      <a:noFill/>
      <a:round/>
    </a:ln>
    <a:effectLst/>
  </c:spPr>
  <c:txPr>
    <a:bodyPr/>
    <a:lstStyle/>
    <a:p>
      <a:pPr>
        <a:defRPr sz="1100" b="1">
          <a:solidFill>
            <a:schemeClr val="tx1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Závislost NPV na diskotní sazbě při poč. ceně za cyklus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1915446424460101"/>
          <c:y val="9.5567951520706268E-2"/>
          <c:w val="0.83603996868812447"/>
          <c:h val="0.8084791451528331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poly"/>
            <c:order val="2"/>
            <c:forward val="2.5000000000000005E-2"/>
            <c:backward val="3.9000000000000007E-2"/>
            <c:dispRSqr val="0"/>
            <c:dispEq val="0"/>
          </c:trendline>
          <c:xVal>
            <c:numRef>
              <c:f>'Mini SWASH II - Kalkulace'!$U$9:$U$20</c:f>
              <c:numCache>
                <c:formatCode>0%</c:formatCode>
                <c:ptCount val="12"/>
                <c:pt idx="0">
                  <c:v>0.04</c:v>
                </c:pt>
                <c:pt idx="1">
                  <c:v>0.05</c:v>
                </c:pt>
                <c:pt idx="2">
                  <c:v>0.06</c:v>
                </c:pt>
                <c:pt idx="3">
                  <c:v>7.0000000000000007E-2</c:v>
                </c:pt>
                <c:pt idx="4">
                  <c:v>0.08</c:v>
                </c:pt>
                <c:pt idx="5">
                  <c:v>0.09</c:v>
                </c:pt>
                <c:pt idx="6">
                  <c:v>0.1</c:v>
                </c:pt>
                <c:pt idx="7">
                  <c:v>0.11</c:v>
                </c:pt>
                <c:pt idx="8">
                  <c:v>0.12</c:v>
                </c:pt>
                <c:pt idx="9">
                  <c:v>0.13</c:v>
                </c:pt>
                <c:pt idx="10">
                  <c:v>0.14000000000000001</c:v>
                </c:pt>
                <c:pt idx="11">
                  <c:v>0.15</c:v>
                </c:pt>
              </c:numCache>
            </c:numRef>
          </c:xVal>
          <c:yVal>
            <c:numRef>
              <c:f>'Mini SWASH II - Kalkulace'!$S$9:$S$20</c:f>
              <c:numCache>
                <c:formatCode>#,##0</c:formatCode>
                <c:ptCount val="12"/>
                <c:pt idx="0">
                  <c:v>410</c:v>
                </c:pt>
                <c:pt idx="1">
                  <c:v>314</c:v>
                </c:pt>
                <c:pt idx="2">
                  <c:v>225</c:v>
                </c:pt>
                <c:pt idx="3">
                  <c:v>144</c:v>
                </c:pt>
                <c:pt idx="4">
                  <c:v>68</c:v>
                </c:pt>
                <c:pt idx="5">
                  <c:v>0</c:v>
                </c:pt>
                <c:pt idx="6">
                  <c:v>-63</c:v>
                </c:pt>
                <c:pt idx="7">
                  <c:v>-122</c:v>
                </c:pt>
                <c:pt idx="8">
                  <c:v>-175</c:v>
                </c:pt>
                <c:pt idx="9">
                  <c:v>-224</c:v>
                </c:pt>
                <c:pt idx="10">
                  <c:v>-270</c:v>
                </c:pt>
                <c:pt idx="11">
                  <c:v>-313</c:v>
                </c:pt>
              </c:numCache>
            </c:numRef>
          </c:yVal>
          <c:smooth val="0"/>
        </c:ser>
        <c:ser>
          <c:idx val="1"/>
          <c:order val="1"/>
          <c:tx>
            <c:v>538 Kč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olid"/>
              </a:ln>
              <a:effectLst/>
            </c:spPr>
            <c:trendlineType val="poly"/>
            <c:order val="2"/>
            <c:forward val="2.5000000000000005E-2"/>
            <c:backward val="3.8000000000000006E-2"/>
            <c:dispRSqr val="0"/>
            <c:dispEq val="0"/>
          </c:trendline>
          <c:xVal>
            <c:numRef>
              <c:f>'Mini SWASH II - Kalkulace'!$U$9:$U$21</c:f>
              <c:numCache>
                <c:formatCode>0%</c:formatCode>
                <c:ptCount val="13"/>
                <c:pt idx="0">
                  <c:v>0.04</c:v>
                </c:pt>
                <c:pt idx="1">
                  <c:v>0.05</c:v>
                </c:pt>
                <c:pt idx="2">
                  <c:v>0.06</c:v>
                </c:pt>
                <c:pt idx="3">
                  <c:v>7.0000000000000007E-2</c:v>
                </c:pt>
                <c:pt idx="4">
                  <c:v>0.08</c:v>
                </c:pt>
                <c:pt idx="5">
                  <c:v>0.09</c:v>
                </c:pt>
                <c:pt idx="6">
                  <c:v>0.1</c:v>
                </c:pt>
                <c:pt idx="7">
                  <c:v>0.11</c:v>
                </c:pt>
                <c:pt idx="8">
                  <c:v>0.12</c:v>
                </c:pt>
                <c:pt idx="9">
                  <c:v>0.13</c:v>
                </c:pt>
                <c:pt idx="10">
                  <c:v>0.14000000000000001</c:v>
                </c:pt>
                <c:pt idx="11">
                  <c:v>0.15</c:v>
                </c:pt>
              </c:numCache>
            </c:numRef>
          </c:xVal>
          <c:yVal>
            <c:numRef>
              <c:f>'Mini SWASH II - Kalkulace'!$T$9:$T$21</c:f>
              <c:numCache>
                <c:formatCode>#,##0</c:formatCode>
                <c:ptCount val="13"/>
                <c:pt idx="0">
                  <c:v>738</c:v>
                </c:pt>
                <c:pt idx="1">
                  <c:v>624</c:v>
                </c:pt>
                <c:pt idx="2">
                  <c:v>520</c:v>
                </c:pt>
                <c:pt idx="3">
                  <c:v>423</c:v>
                </c:pt>
                <c:pt idx="4">
                  <c:v>335</c:v>
                </c:pt>
                <c:pt idx="5">
                  <c:v>232.251</c:v>
                </c:pt>
                <c:pt idx="6">
                  <c:v>178</c:v>
                </c:pt>
                <c:pt idx="7">
                  <c:v>109</c:v>
                </c:pt>
                <c:pt idx="8">
                  <c:v>44</c:v>
                </c:pt>
                <c:pt idx="9">
                  <c:v>-14</c:v>
                </c:pt>
                <c:pt idx="10">
                  <c:v>-70</c:v>
                </c:pt>
                <c:pt idx="11">
                  <c:v>-120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682472"/>
        <c:axId val="327684040"/>
      </c:scatterChart>
      <c:valAx>
        <c:axId val="327682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Diskont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4040"/>
        <c:crosses val="autoZero"/>
        <c:crossBetween val="midCat"/>
      </c:valAx>
      <c:valAx>
        <c:axId val="327684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NPV [tis. Kč]</a:t>
                </a:r>
              </a:p>
            </c:rich>
          </c:tx>
          <c:layout>
            <c:manualLayout>
              <c:xMode val="edge"/>
              <c:yMode val="edge"/>
              <c:x val="2.8143274853801168E-2"/>
              <c:y val="0.414612058903686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2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5928800018418752"/>
          <c:y val="0.9405160504765856"/>
          <c:w val="0.48194006999125105"/>
          <c:h val="5.93325834270716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080000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Diskontovaná</a:t>
            </a:r>
            <a:r>
              <a:rPr lang="cs-CZ" baseline="0"/>
              <a:t> d</a:t>
            </a:r>
            <a:r>
              <a:rPr lang="cs-CZ"/>
              <a:t>oba návratnosti investice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2302642836646423"/>
          <c:y val="0.11819630337794773"/>
          <c:w val="0.82642915623510949"/>
          <c:h val="0.74730707657718709"/>
        </c:manualLayout>
      </c:layout>
      <c:scatterChart>
        <c:scatterStyle val="smoothMarker"/>
        <c:varyColors val="0"/>
        <c:ser>
          <c:idx val="0"/>
          <c:order val="0"/>
          <c:tx>
            <c:v>Kapitálový výdaj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'Mini SWASH II - Kalkulace'!$D$3:$M$3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Kalkulace'!$D$60:$M$60</c:f>
              <c:numCache>
                <c:formatCode>#\ ##0\ "Kč"</c:formatCode>
                <c:ptCount val="10"/>
                <c:pt idx="0">
                  <c:v>694414</c:v>
                </c:pt>
                <c:pt idx="1">
                  <c:v>694414</c:v>
                </c:pt>
                <c:pt idx="2">
                  <c:v>694414</c:v>
                </c:pt>
                <c:pt idx="3">
                  <c:v>694414</c:v>
                </c:pt>
                <c:pt idx="4">
                  <c:v>694414</c:v>
                </c:pt>
                <c:pt idx="5">
                  <c:v>694414</c:v>
                </c:pt>
                <c:pt idx="6">
                  <c:v>694414</c:v>
                </c:pt>
                <c:pt idx="7">
                  <c:v>694414</c:v>
                </c:pt>
                <c:pt idx="8">
                  <c:v>694414</c:v>
                </c:pt>
                <c:pt idx="9">
                  <c:v>694414</c:v>
                </c:pt>
              </c:numCache>
            </c:numRef>
          </c:yVal>
          <c:smooth val="1"/>
        </c:ser>
        <c:ser>
          <c:idx val="1"/>
          <c:order val="1"/>
          <c:tx>
            <c:v>Kumulovaná hodnota DCF - 518 Kč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'Mini SWASH II - Kalkulace'!$D$3:$M$3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Kalkulace'!$D$70:$M$70</c:f>
              <c:numCache>
                <c:formatCode>#\ ##0\ "Kč"</c:formatCode>
                <c:ptCount val="10"/>
                <c:pt idx="0">
                  <c:v>-212938.139145683</c:v>
                </c:pt>
                <c:pt idx="1">
                  <c:v>-347153.1867118798</c:v>
                </c:pt>
                <c:pt idx="2">
                  <c:v>-389970.40417672647</c:v>
                </c:pt>
                <c:pt idx="3">
                  <c:v>-344163.48427177564</c:v>
                </c:pt>
                <c:pt idx="4">
                  <c:v>-205681.87743713617</c:v>
                </c:pt>
                <c:pt idx="5">
                  <c:v>30230.088214387011</c:v>
                </c:pt>
                <c:pt idx="6">
                  <c:v>246381.24088540993</c:v>
                </c:pt>
                <c:pt idx="7">
                  <c:v>413641.60703269154</c:v>
                </c:pt>
                <c:pt idx="8">
                  <c:v>560315.71417840209</c:v>
                </c:pt>
                <c:pt idx="9">
                  <c:v>694413.99999999907</c:v>
                </c:pt>
              </c:numCache>
            </c:numRef>
          </c:yVal>
          <c:smooth val="1"/>
        </c:ser>
        <c:ser>
          <c:idx val="2"/>
          <c:order val="2"/>
          <c:tx>
            <c:v>Kumulovaná hodnota DCF - 538 Kč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'Mini SWASH II - Kalkulace'!$D$3:$M$3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Kalkulace'!$D$78:$M$78</c:f>
              <c:numCache>
                <c:formatCode>#\ ##0\ "Kč"</c:formatCode>
                <c:ptCount val="10"/>
                <c:pt idx="0">
                  <c:v>-190352.92848183488</c:v>
                </c:pt>
                <c:pt idx="1">
                  <c:v>-299628.93058472191</c:v>
                </c:pt>
                <c:pt idx="2">
                  <c:v>-314907.95069210115</c:v>
                </c:pt>
                <c:pt idx="3">
                  <c:v>-238692.79744820739</c:v>
                </c:pt>
                <c:pt idx="4">
                  <c:v>-66633.805616547819</c:v>
                </c:pt>
                <c:pt idx="5">
                  <c:v>206354.98625737277</c:v>
                </c:pt>
                <c:pt idx="6">
                  <c:v>432549.26903529017</c:v>
                </c:pt>
                <c:pt idx="7">
                  <c:v>619155.59952791804</c:v>
                </c:pt>
                <c:pt idx="8">
                  <c:v>790439.5354322684</c:v>
                </c:pt>
                <c:pt idx="9">
                  <c:v>947567.20229406049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683256"/>
        <c:axId val="327686000"/>
      </c:scatterChart>
      <c:valAx>
        <c:axId val="327683256"/>
        <c:scaling>
          <c:orientation val="minMax"/>
          <c:min val="2016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6000"/>
        <c:crosses val="autoZero"/>
        <c:crossBetween val="midCat"/>
      </c:valAx>
      <c:valAx>
        <c:axId val="32768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Kč</a:t>
                </a:r>
              </a:p>
            </c:rich>
          </c:tx>
          <c:layout>
            <c:manualLayout>
              <c:xMode val="edge"/>
              <c:yMode val="edge"/>
              <c:x val="2.2768699800187964E-2"/>
              <c:y val="0.417511028138691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3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5.5306470592881005E-2"/>
          <c:y val="0.91659113834480066"/>
          <c:w val="0.8861846694940464"/>
          <c:h val="7.9391962193984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>
      <a:gsLst>
        <a:gs pos="500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6200000" scaled="1"/>
    </a:gradFill>
    <a:ln w="9525" cap="flat" cmpd="sng" algn="ctr">
      <a:noFill/>
      <a:round/>
    </a:ln>
    <a:effectLst/>
  </c:spPr>
  <c:txPr>
    <a:bodyPr/>
    <a:lstStyle/>
    <a:p>
      <a:pPr>
        <a:defRPr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Znázornění bodu zvratu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99048105878151"/>
          <c:y val="0.11426370918052989"/>
          <c:w val="0.81863451525488151"/>
          <c:h val="0.70448912476772318"/>
        </c:manualLayout>
      </c:layout>
      <c:scatterChart>
        <c:scatterStyle val="lineMarker"/>
        <c:varyColors val="0"/>
        <c:ser>
          <c:idx val="0"/>
          <c:order val="0"/>
          <c:tx>
            <c:v>Náklady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'Mini SWASH II - Kalkulace'!$D$61:$M$61</c:f>
              <c:numCache>
                <c:formatCode>#,##0</c:formatCode>
                <c:ptCount val="10"/>
                <c:pt idx="0">
                  <c:v>1250</c:v>
                </c:pt>
                <c:pt idx="1">
                  <c:v>2725</c:v>
                </c:pt>
                <c:pt idx="2">
                  <c:v>4465.5</c:v>
                </c:pt>
                <c:pt idx="3">
                  <c:v>6519.29</c:v>
                </c:pt>
                <c:pt idx="4">
                  <c:v>8942.762200000001</c:v>
                </c:pt>
                <c:pt idx="5">
                  <c:v>11802.459396000002</c:v>
                </c:pt>
                <c:pt idx="6">
                  <c:v>14662.156592000003</c:v>
                </c:pt>
                <c:pt idx="7">
                  <c:v>17521.853788000004</c:v>
                </c:pt>
                <c:pt idx="8">
                  <c:v>20381.550984000005</c:v>
                </c:pt>
                <c:pt idx="9">
                  <c:v>23241.248180000006</c:v>
                </c:pt>
              </c:numCache>
            </c:numRef>
          </c:xVal>
          <c:yVal>
            <c:numRef>
              <c:f>'Mini SWASH II - Kalkulace'!$D$62:$M$62</c:f>
              <c:numCache>
                <c:formatCode>#\ ##0\ "Kč"</c:formatCode>
                <c:ptCount val="10"/>
                <c:pt idx="0">
                  <c:v>949426.09204520006</c:v>
                </c:pt>
                <c:pt idx="1">
                  <c:v>1958119.3101436403</c:v>
                </c:pt>
                <c:pt idx="2">
                  <c:v>3021566.5998742795</c:v>
                </c:pt>
                <c:pt idx="3">
                  <c:v>4155994.218688027</c:v>
                </c:pt>
                <c:pt idx="4">
                  <c:v>5372006.9377024146</c:v>
                </c:pt>
                <c:pt idx="5">
                  <c:v>6682265.9906551465</c:v>
                </c:pt>
                <c:pt idx="6">
                  <c:v>8025769.5769924279</c:v>
                </c:pt>
                <c:pt idx="7">
                  <c:v>9403440.5428999756</c:v>
                </c:pt>
                <c:pt idx="8">
                  <c:v>10816227.791029708</c:v>
                </c:pt>
                <c:pt idx="9">
                  <c:v>12265107.02655464</c:v>
                </c:pt>
              </c:numCache>
            </c:numRef>
          </c:yVal>
          <c:smooth val="0"/>
        </c:ser>
        <c:ser>
          <c:idx val="1"/>
          <c:order val="1"/>
          <c:tx>
            <c:v>Výnosy - 518 Kč/cyklus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'Mini SWASH II - Kalkulace'!$D$61:$M$61</c:f>
              <c:numCache>
                <c:formatCode>#,##0</c:formatCode>
                <c:ptCount val="10"/>
                <c:pt idx="0">
                  <c:v>1250</c:v>
                </c:pt>
                <c:pt idx="1">
                  <c:v>2725</c:v>
                </c:pt>
                <c:pt idx="2">
                  <c:v>4465.5</c:v>
                </c:pt>
                <c:pt idx="3">
                  <c:v>6519.29</c:v>
                </c:pt>
                <c:pt idx="4">
                  <c:v>8942.762200000001</c:v>
                </c:pt>
                <c:pt idx="5">
                  <c:v>11802.459396000002</c:v>
                </c:pt>
                <c:pt idx="6">
                  <c:v>14662.156592000003</c:v>
                </c:pt>
                <c:pt idx="7">
                  <c:v>17521.853788000004</c:v>
                </c:pt>
                <c:pt idx="8">
                  <c:v>20381.550984000005</c:v>
                </c:pt>
                <c:pt idx="9">
                  <c:v>23241.248180000006</c:v>
                </c:pt>
              </c:numCache>
            </c:numRef>
          </c:xVal>
          <c:yVal>
            <c:numRef>
              <c:f>'Mini SWASH II - Kalkulace'!$D$65:$M$65</c:f>
              <c:numCache>
                <c:formatCode>#\ ##0\ "Kč"</c:formatCode>
                <c:ptCount val="10"/>
                <c:pt idx="0">
                  <c:v>647882.12037640554</c:v>
                </c:pt>
                <c:pt idx="1">
                  <c:v>1427673.0404614471</c:v>
                </c:pt>
                <c:pt idx="2">
                  <c:v>2366229.3918758035</c:v>
                </c:pt>
                <c:pt idx="3">
                  <c:v>3495875.8164381227</c:v>
                </c:pt>
                <c:pt idx="4">
                  <c:v>4855518.2530413298</c:v>
                </c:pt>
                <c:pt idx="5">
                  <c:v>6491983.8897369504</c:v>
                </c:pt>
                <c:pt idx="6">
                  <c:v>8161178.8391664829</c:v>
                </c:pt>
                <c:pt idx="7">
                  <c:v>9863757.6875846069</c:v>
                </c:pt>
                <c:pt idx="8">
                  <c:v>11600388.112971094</c:v>
                </c:pt>
                <c:pt idx="9">
                  <c:v>13371751.146865308</c:v>
                </c:pt>
              </c:numCache>
            </c:numRef>
          </c:yVal>
          <c:smooth val="0"/>
        </c:ser>
        <c:ser>
          <c:idx val="2"/>
          <c:order val="2"/>
          <c:tx>
            <c:v>Výnosy - 538 Kč/cyklus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'Mini SWASH II - Kalkulace'!$D$61:$M$61</c:f>
              <c:numCache>
                <c:formatCode>#,##0</c:formatCode>
                <c:ptCount val="10"/>
                <c:pt idx="0">
                  <c:v>1250</c:v>
                </c:pt>
                <c:pt idx="1">
                  <c:v>2725</c:v>
                </c:pt>
                <c:pt idx="2">
                  <c:v>4465.5</c:v>
                </c:pt>
                <c:pt idx="3">
                  <c:v>6519.29</c:v>
                </c:pt>
                <c:pt idx="4">
                  <c:v>8942.762200000001</c:v>
                </c:pt>
                <c:pt idx="5">
                  <c:v>11802.459396000002</c:v>
                </c:pt>
                <c:pt idx="6">
                  <c:v>14662.156592000003</c:v>
                </c:pt>
                <c:pt idx="7">
                  <c:v>17521.853788000004</c:v>
                </c:pt>
                <c:pt idx="8">
                  <c:v>20381.550984000005</c:v>
                </c:pt>
                <c:pt idx="9">
                  <c:v>23241.248180000006</c:v>
                </c:pt>
              </c:numCache>
            </c:numRef>
          </c:xVal>
          <c:yVal>
            <c:numRef>
              <c:f>'Mini SWASH II - Kalkulace'!$D$73:$M$73</c:f>
              <c:numCache>
                <c:formatCode>#\ ##0\ "Kč"</c:formatCode>
                <c:ptCount val="10"/>
                <c:pt idx="0">
                  <c:v>672500</c:v>
                </c:pt>
                <c:pt idx="1">
                  <c:v>1481921</c:v>
                </c:pt>
                <c:pt idx="2">
                  <c:v>2456140.1156000001</c:v>
                </c:pt>
                <c:pt idx="3">
                  <c:v>3628710.2431361601</c:v>
                </c:pt>
                <c:pt idx="4">
                  <c:v>5040015.6486386824</c:v>
                </c:pt>
                <c:pt idx="5">
                  <c:v>6738662.8347015176</c:v>
                </c:pt>
                <c:pt idx="6">
                  <c:v>8471282.9644856099</c:v>
                </c:pt>
                <c:pt idx="7">
                  <c:v>10238555.496865384</c:v>
                </c:pt>
                <c:pt idx="8">
                  <c:v>12041173.479892753</c:v>
                </c:pt>
                <c:pt idx="9">
                  <c:v>13879843.822580671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681296"/>
        <c:axId val="327686784"/>
      </c:scatterChart>
      <c:valAx>
        <c:axId val="327681296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Počet provedených mycích cyklů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6784"/>
        <c:crosses val="autoZero"/>
        <c:crossBetween val="midCat"/>
        <c:majorUnit val="2500"/>
      </c:valAx>
      <c:valAx>
        <c:axId val="32768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Náklady, výnosy [Kč]</a:t>
                </a:r>
              </a:p>
            </c:rich>
          </c:tx>
          <c:layout>
            <c:manualLayout>
              <c:xMode val="edge"/>
              <c:yMode val="edge"/>
              <c:x val="2.3879487890100692E-2"/>
              <c:y val="0.400499311524938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1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6.3977668403870452E-2"/>
          <c:y val="0.91287210692625298"/>
          <c:w val="0.87257641960942345"/>
          <c:h val="8.7127893073747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080000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Závislost počáteční ceny na vývoji počtu mycích cyklů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olid"/>
              </a:ln>
              <a:effectLst/>
            </c:spPr>
            <c:trendlineType val="exp"/>
            <c:forward val="0.30000000000000004"/>
            <c:backward val="2.5000000000000005E-2"/>
            <c:dispRSqr val="0"/>
            <c:dispEq val="0"/>
          </c:trendline>
          <c:xVal>
            <c:numRef>
              <c:f>'Mini SWASH II - Kalkulace'!$AL$8:$AL$13</c:f>
              <c:numCache>
                <c:formatCode>0%</c:formatCode>
                <c:ptCount val="6"/>
                <c:pt idx="0">
                  <c:v>0.18</c:v>
                </c:pt>
                <c:pt idx="1">
                  <c:v>0.15</c:v>
                </c:pt>
                <c:pt idx="2">
                  <c:v>0.12</c:v>
                </c:pt>
                <c:pt idx="3">
                  <c:v>0.09</c:v>
                </c:pt>
                <c:pt idx="4">
                  <c:v>0.06</c:v>
                </c:pt>
                <c:pt idx="5">
                  <c:v>0.03</c:v>
                </c:pt>
              </c:numCache>
            </c:numRef>
          </c:xVal>
          <c:yVal>
            <c:numRef>
              <c:f>'Mini SWASH II - Kalkulace'!$AM$8:$AM$13</c:f>
              <c:numCache>
                <c:formatCode>#\ ##0\ "Kč"</c:formatCode>
                <c:ptCount val="6"/>
                <c:pt idx="0">
                  <c:v>518.3056963011245</c:v>
                </c:pt>
                <c:pt idx="1">
                  <c:v>560.35973586359148</c:v>
                </c:pt>
                <c:pt idx="2">
                  <c:v>607.27017613354826</c:v>
                </c:pt>
                <c:pt idx="3">
                  <c:v>659.82417070530994</c:v>
                </c:pt>
                <c:pt idx="4">
                  <c:v>718.6905651832991</c:v>
                </c:pt>
                <c:pt idx="5">
                  <c:v>784.59716337115344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683648"/>
        <c:axId val="328366048"/>
      </c:scatterChart>
      <c:valAx>
        <c:axId val="327683648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Meziroční nárůst počtu mycích cyklů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366048"/>
        <c:crosses val="autoZero"/>
        <c:crossBetween val="midCat"/>
      </c:valAx>
      <c:valAx>
        <c:axId val="32836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Cena za cyklus [Kč]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\ _K_č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7683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600000" scaled="0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Prostá</a:t>
            </a:r>
            <a:r>
              <a:rPr lang="cs-CZ" baseline="0"/>
              <a:t> d</a:t>
            </a:r>
            <a:r>
              <a:rPr lang="cs-CZ"/>
              <a:t>oba návratnosti investice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2302642836646423"/>
          <c:y val="0.11819630337794773"/>
          <c:w val="0.82642915623510949"/>
          <c:h val="0.74730707657718709"/>
        </c:manualLayout>
      </c:layout>
      <c:scatterChart>
        <c:scatterStyle val="smoothMarker"/>
        <c:varyColors val="0"/>
        <c:ser>
          <c:idx val="0"/>
          <c:order val="0"/>
          <c:tx>
            <c:v>Kapitálový výdaj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'Mini SWASH II - Kalkulace'!$D$3:$M$3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Kalkulace'!$D$60:$M$60</c:f>
              <c:numCache>
                <c:formatCode>#\ ##0\ "Kč"</c:formatCode>
                <c:ptCount val="10"/>
                <c:pt idx="0">
                  <c:v>694414</c:v>
                </c:pt>
                <c:pt idx="1">
                  <c:v>694414</c:v>
                </c:pt>
                <c:pt idx="2">
                  <c:v>694414</c:v>
                </c:pt>
                <c:pt idx="3">
                  <c:v>694414</c:v>
                </c:pt>
                <c:pt idx="4">
                  <c:v>694414</c:v>
                </c:pt>
                <c:pt idx="5">
                  <c:v>694414</c:v>
                </c:pt>
                <c:pt idx="6">
                  <c:v>694414</c:v>
                </c:pt>
                <c:pt idx="7">
                  <c:v>694414</c:v>
                </c:pt>
                <c:pt idx="8">
                  <c:v>694414</c:v>
                </c:pt>
                <c:pt idx="9">
                  <c:v>694414</c:v>
                </c:pt>
              </c:numCache>
            </c:numRef>
          </c:yVal>
          <c:smooth val="1"/>
        </c:ser>
        <c:ser>
          <c:idx val="1"/>
          <c:order val="1"/>
          <c:tx>
            <c:v>Kumulovaná hodnota CF - 518 Kč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'Mini SWASH II - Kalkulace'!$D$3:$M$3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Kalkulace'!$D$68:$M$68</c:f>
              <c:numCache>
                <c:formatCode>#\ ##0\ "Kč"</c:formatCode>
                <c:ptCount val="10"/>
                <c:pt idx="0">
                  <c:v>-232102.5716687945</c:v>
                </c:pt>
                <c:pt idx="1">
                  <c:v>-391563.4696821929</c:v>
                </c:pt>
                <c:pt idx="2">
                  <c:v>-447013.0079984758</c:v>
                </c:pt>
                <c:pt idx="3">
                  <c:v>-382352.80224990426</c:v>
                </c:pt>
                <c:pt idx="4">
                  <c:v>-169281.68466108432</c:v>
                </c:pt>
                <c:pt idx="5">
                  <c:v>226366.29908180353</c:v>
                </c:pt>
                <c:pt idx="6">
                  <c:v>621499.06217405456</c:v>
                </c:pt>
                <c:pt idx="7">
                  <c:v>954775.81919455086</c:v>
                </c:pt>
                <c:pt idx="8">
                  <c:v>1273336.326772521</c:v>
                </c:pt>
                <c:pt idx="9">
                  <c:v>1590795.7374516411</c:v>
                </c:pt>
              </c:numCache>
            </c:numRef>
          </c:yVal>
          <c:smooth val="1"/>
        </c:ser>
        <c:ser>
          <c:idx val="2"/>
          <c:order val="2"/>
          <c:tx>
            <c:v>Kumulovaná hodnota CF - 538 Kč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'Mini SWASH II - Kalkulace'!$D$3:$M$3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xVal>
          <c:yVal>
            <c:numRef>
              <c:f>'Mini SWASH II - Kalkulace'!$D$76:$M$76</c:f>
              <c:numCache>
                <c:formatCode>#\ ##0\ "Kč"</c:formatCode>
                <c:ptCount val="10"/>
                <c:pt idx="0">
                  <c:v>-207484.69204520003</c:v>
                </c:pt>
                <c:pt idx="1">
                  <c:v>-337315.5101436401</c:v>
                </c:pt>
                <c:pt idx="2">
                  <c:v>-357102.28427427937</c:v>
                </c:pt>
                <c:pt idx="3">
                  <c:v>-249518.37555186707</c:v>
                </c:pt>
                <c:pt idx="4">
                  <c:v>15215.71093626786</c:v>
                </c:pt>
                <c:pt idx="5">
                  <c:v>473045.24404637096</c:v>
                </c:pt>
                <c:pt idx="6">
                  <c:v>886537.24186947697</c:v>
                </c:pt>
                <c:pt idx="7">
                  <c:v>1258362.0447119807</c:v>
                </c:pt>
                <c:pt idx="8">
                  <c:v>1630372.4739790668</c:v>
                </c:pt>
                <c:pt idx="9">
                  <c:v>2002350.8047810851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365656"/>
        <c:axId val="328367224"/>
      </c:scatterChart>
      <c:valAx>
        <c:axId val="328365656"/>
        <c:scaling>
          <c:orientation val="minMax"/>
          <c:min val="2016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367224"/>
        <c:crosses val="autoZero"/>
        <c:crossBetween val="midCat"/>
      </c:valAx>
      <c:valAx>
        <c:axId val="328367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Kč</a:t>
                </a:r>
              </a:p>
            </c:rich>
          </c:tx>
          <c:layout>
            <c:manualLayout>
              <c:xMode val="edge"/>
              <c:yMode val="edge"/>
              <c:x val="2.2768699800187964E-2"/>
              <c:y val="0.417511028138691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365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5.5306470592881005E-2"/>
          <c:y val="0.91659113834480066"/>
          <c:w val="0.8861846694940464"/>
          <c:h val="7.9391962193984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>
      <a:gsLst>
        <a:gs pos="500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6200000" scaled="1"/>
    </a:gradFill>
    <a:ln w="9525" cap="flat" cmpd="sng" algn="ctr">
      <a:noFill/>
      <a:round/>
    </a:ln>
    <a:effectLst/>
  </c:spPr>
  <c:txPr>
    <a:bodyPr/>
    <a:lstStyle/>
    <a:p>
      <a:pPr>
        <a:defRPr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6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Srovnání zařízení pomocí RCF</a:t>
            </a:r>
          </a:p>
        </c:rich>
      </c:tx>
      <c:layout>
        <c:manualLayout>
          <c:xMode val="edge"/>
          <c:yMode val="edge"/>
          <c:x val="0.27648755742530889"/>
          <c:y val="2.96610169491525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6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239426658494037"/>
          <c:y val="0.17171296296296296"/>
          <c:w val="0.82542034042151913"/>
          <c:h val="0.60794433885419497"/>
        </c:manualLayout>
      </c:layout>
      <c:scatterChart>
        <c:scatterStyle val="lineMarker"/>
        <c:varyColors val="0"/>
        <c:ser>
          <c:idx val="0"/>
          <c:order val="0"/>
          <c:tx>
            <c:v>Mini SWASH II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7030A0"/>
                </a:solidFill>
                <a:prstDash val="solid"/>
              </a:ln>
              <a:effectLst/>
            </c:spPr>
            <c:trendlineType val="linear"/>
            <c:forward val="22"/>
            <c:dispRSqr val="0"/>
            <c:dispEq val="0"/>
          </c:trendline>
          <c:xVal>
            <c:numRef>
              <c:f>'Mini SWASH II - Kalkulace'!$T$27:$T$30</c:f>
              <c:numCache>
                <c:formatCode>General</c:formatCode>
                <c:ptCount val="4"/>
                <c:pt idx="0">
                  <c:v>0</c:v>
                </c:pt>
                <c:pt idx="1">
                  <c:v>3.9</c:v>
                </c:pt>
                <c:pt idx="2">
                  <c:v>5</c:v>
                </c:pt>
                <c:pt idx="3">
                  <c:v>7.5</c:v>
                </c:pt>
              </c:numCache>
            </c:numRef>
          </c:xVal>
          <c:yVal>
            <c:numRef>
              <c:f>'Mini SWASH II - Kalkulace'!$V$27:$V$30</c:f>
              <c:numCache>
                <c:formatCode>General</c:formatCode>
                <c:ptCount val="4"/>
                <c:pt idx="0">
                  <c:v>0</c:v>
                </c:pt>
                <c:pt idx="1">
                  <c:v>39763.572923796448</c:v>
                </c:pt>
                <c:pt idx="2">
                  <c:v>51434.186017803266</c:v>
                </c:pt>
                <c:pt idx="3">
                  <c:v>77383.840510894122</c:v>
                </c:pt>
              </c:numCache>
            </c:numRef>
          </c:yVal>
          <c:smooth val="0"/>
        </c:ser>
        <c:ser>
          <c:idx val="1"/>
          <c:order val="1"/>
          <c:tx>
            <c:v>INJET 388-CRD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olid"/>
              </a:ln>
              <a:effectLst/>
            </c:spPr>
            <c:trendlineType val="linear"/>
            <c:forward val="22"/>
            <c:dispRSqr val="0"/>
            <c:dispEq val="0"/>
          </c:trendline>
          <c:xVal>
            <c:numRef>
              <c:f>'INJET 388-CRD - Kalkulace'!$Y$26:$Y$29</c:f>
              <c:numCache>
                <c:formatCode>General</c:formatCode>
                <c:ptCount val="4"/>
                <c:pt idx="0">
                  <c:v>0</c:v>
                </c:pt>
                <c:pt idx="1">
                  <c:v>3.9</c:v>
                </c:pt>
                <c:pt idx="2">
                  <c:v>5</c:v>
                </c:pt>
                <c:pt idx="3">
                  <c:v>7.5</c:v>
                </c:pt>
              </c:numCache>
            </c:numRef>
          </c:xVal>
          <c:yVal>
            <c:numRef>
              <c:f>'INJET 388-CRD - Kalkulace'!$AA$26:$AA$29</c:f>
              <c:numCache>
                <c:formatCode>General</c:formatCode>
                <c:ptCount val="4"/>
                <c:pt idx="0">
                  <c:v>0</c:v>
                </c:pt>
                <c:pt idx="1">
                  <c:v>39095.66816065344</c:v>
                </c:pt>
                <c:pt idx="2">
                  <c:v>48869.771289140779</c:v>
                </c:pt>
                <c:pt idx="3">
                  <c:v>72540.082039937304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366440"/>
        <c:axId val="328364088"/>
      </c:scatterChart>
      <c:valAx>
        <c:axId val="328366440"/>
        <c:scaling>
          <c:orientation val="minMax"/>
          <c:max val="3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/>
                  <a:t>N</a:t>
                </a:r>
                <a:r>
                  <a:rPr lang="cs-CZ"/>
                  <a:t>avýšení počáteční ceny v %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364088"/>
        <c:crosses val="autoZero"/>
        <c:crossBetween val="midCat"/>
      </c:valAx>
      <c:valAx>
        <c:axId val="3283640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RCF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366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649453193350834"/>
          <c:y val="0.90819371536891225"/>
          <c:w val="0.64761636045494309"/>
          <c:h val="9.14362787984834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890000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Struktura nákkladů na jeden mycí cyklus - rok 2016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view3D>
      <c:rotX val="30"/>
      <c:rotY val="133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7094861837751027E-2"/>
          <c:y val="1.1677096438409862E-2"/>
          <c:w val="0.88703393061497038"/>
          <c:h val="0.72760748972133804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rgbClr val="FF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rgbClr val="FFFF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bg1">
                  <a:lumMod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tx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rgbClr val="F117E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rgbClr val="7030A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5.6041326162747838E-2"/>
                  <c:y val="1.9494924933359661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1.226770338412469E-2"/>
                  <c:y val="2.1382055954170531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2.1643667276856227E-2"/>
                  <c:y val="-5.7501135078807568E-3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cs-C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/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'INJET 388-CRD - Náklady'!$H$4:$H$15</c:f>
              <c:strCache>
                <c:ptCount val="12"/>
                <c:pt idx="0">
                  <c:v>Odpis</c:v>
                </c:pt>
                <c:pt idx="1">
                  <c:v>Elektrická energie</c:v>
                </c:pt>
                <c:pt idx="2">
                  <c:v>Stlačený vzduch</c:v>
                </c:pt>
                <c:pt idx="3">
                  <c:v>Mycí prostředek</c:v>
                </c:pt>
                <c:pt idx="4">
                  <c:v>Výměna mycího prostředku</c:v>
                </c:pt>
                <c:pt idx="5">
                  <c:v>Likvidace mycího prostředku</c:v>
                </c:pt>
                <c:pt idx="6">
                  <c:v>Deionizovaná voda</c:v>
                </c:pt>
                <c:pt idx="7">
                  <c:v>Výměna deionizované vody</c:v>
                </c:pt>
                <c:pt idx="8">
                  <c:v>Likvidace deionizované vody</c:v>
                </c:pt>
                <c:pt idx="9">
                  <c:v>Mzdové náklady</c:v>
                </c:pt>
                <c:pt idx="10">
                  <c:v>Spotřební materiál</c:v>
                </c:pt>
                <c:pt idx="11">
                  <c:v>Revize a servis zařízení</c:v>
                </c:pt>
              </c:strCache>
            </c:strRef>
          </c:cat>
          <c:val>
            <c:numRef>
              <c:f>'INJET 388-CRD - Náklady'!$I$4:$I$15</c:f>
              <c:numCache>
                <c:formatCode>0.000%</c:formatCode>
                <c:ptCount val="12"/>
                <c:pt idx="0">
                  <c:v>6.0558852807989998E-2</c:v>
                </c:pt>
                <c:pt idx="1">
                  <c:v>6.5823080188918805E-3</c:v>
                </c:pt>
                <c:pt idx="2">
                  <c:v>3.1914220697657611E-5</c:v>
                </c:pt>
                <c:pt idx="3">
                  <c:v>8.1178147581313004E-2</c:v>
                </c:pt>
                <c:pt idx="4">
                  <c:v>6.49425180650504E-2</c:v>
                </c:pt>
                <c:pt idx="5">
                  <c:v>3.6710184897859031E-3</c:v>
                </c:pt>
                <c:pt idx="6">
                  <c:v>2.8903156771681291E-2</c:v>
                </c:pt>
                <c:pt idx="7">
                  <c:v>1.5415016944896691E-2</c:v>
                </c:pt>
                <c:pt idx="8">
                  <c:v>3.6710184897859031E-3</c:v>
                </c:pt>
                <c:pt idx="9">
                  <c:v>0.58692819673853081</c:v>
                </c:pt>
                <c:pt idx="10">
                  <c:v>0.12333643912019403</c:v>
                </c:pt>
                <c:pt idx="11">
                  <c:v>2.4781412751182411E-2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3.1481073744015597E-2"/>
          <c:y val="0.72574659216764159"/>
          <c:w val="0.92458217216695415"/>
          <c:h val="0.24785289934887755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Závislost NPV na diskotní sazbě při poč. ceně za cyklus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9754149131956595E-2"/>
          <c:y val="0.1027830722350659"/>
          <c:w val="0.87547743390397226"/>
          <c:h val="0.77064637029568817"/>
        </c:manualLayout>
      </c:layout>
      <c:scatterChart>
        <c:scatterStyle val="lineMarker"/>
        <c:varyColors val="0"/>
        <c:ser>
          <c:idx val="0"/>
          <c:order val="0"/>
          <c:tx>
            <c:v>431 Kč/cyklus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7030A0"/>
                </a:solidFill>
                <a:prstDash val="solid"/>
              </a:ln>
              <a:effectLst/>
            </c:spPr>
            <c:trendlineType val="poly"/>
            <c:order val="2"/>
            <c:forward val="1.0000000000000002E-2"/>
            <c:backward val="3.9000000000000007E-2"/>
            <c:dispRSqr val="0"/>
            <c:dispEq val="0"/>
          </c:trendline>
          <c:xVal>
            <c:numRef>
              <c:f>'INJET 388-CRD - Kalkulace'!$Z$8:$Z$19</c:f>
              <c:numCache>
                <c:formatCode>0%</c:formatCode>
                <c:ptCount val="12"/>
                <c:pt idx="0">
                  <c:v>0.04</c:v>
                </c:pt>
                <c:pt idx="1">
                  <c:v>0.05</c:v>
                </c:pt>
                <c:pt idx="2">
                  <c:v>0.06</c:v>
                </c:pt>
                <c:pt idx="3">
                  <c:v>7.0000000000000007E-2</c:v>
                </c:pt>
                <c:pt idx="4">
                  <c:v>0.08</c:v>
                </c:pt>
                <c:pt idx="5">
                  <c:v>0.09</c:v>
                </c:pt>
                <c:pt idx="6">
                  <c:v>0.1</c:v>
                </c:pt>
                <c:pt idx="7">
                  <c:v>0.11</c:v>
                </c:pt>
                <c:pt idx="8">
                  <c:v>0.12</c:v>
                </c:pt>
                <c:pt idx="9">
                  <c:v>0.13</c:v>
                </c:pt>
                <c:pt idx="10">
                  <c:v>0.14000000000000001</c:v>
                </c:pt>
                <c:pt idx="11">
                  <c:v>0.15</c:v>
                </c:pt>
              </c:numCache>
            </c:numRef>
          </c:xVal>
          <c:yVal>
            <c:numRef>
              <c:f>'INJET 388-CRD - Kalkulace'!$X$8:$X$19</c:f>
              <c:numCache>
                <c:formatCode>#,##0</c:formatCode>
                <c:ptCount val="12"/>
                <c:pt idx="0">
                  <c:v>491</c:v>
                </c:pt>
                <c:pt idx="1">
                  <c:v>370</c:v>
                </c:pt>
                <c:pt idx="2">
                  <c:v>262</c:v>
                </c:pt>
                <c:pt idx="3">
                  <c:v>165</c:v>
                </c:pt>
                <c:pt idx="4">
                  <c:v>78</c:v>
                </c:pt>
                <c:pt idx="5">
                  <c:v>0</c:v>
                </c:pt>
                <c:pt idx="6">
                  <c:v>-70</c:v>
                </c:pt>
                <c:pt idx="7">
                  <c:v>-134</c:v>
                </c:pt>
                <c:pt idx="8">
                  <c:v>-191</c:v>
                </c:pt>
                <c:pt idx="9">
                  <c:v>-243</c:v>
                </c:pt>
                <c:pt idx="10">
                  <c:v>-290</c:v>
                </c:pt>
                <c:pt idx="11">
                  <c:v>-332</c:v>
                </c:pt>
              </c:numCache>
            </c:numRef>
          </c:yVal>
          <c:smooth val="0"/>
        </c:ser>
        <c:ser>
          <c:idx val="1"/>
          <c:order val="1"/>
          <c:tx>
            <c:v>448 Kč/cyklus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olid"/>
              </a:ln>
              <a:effectLst/>
            </c:spPr>
            <c:trendlineType val="poly"/>
            <c:order val="2"/>
            <c:forward val="1.0000000000000002E-2"/>
            <c:backward val="3.9000000000000007E-2"/>
            <c:dispRSqr val="0"/>
            <c:dispEq val="0"/>
          </c:trendline>
          <c:xVal>
            <c:numRef>
              <c:f>'INJET 388-CRD - Kalkulace'!$Z$8:$Z$19</c:f>
              <c:numCache>
                <c:formatCode>0%</c:formatCode>
                <c:ptCount val="12"/>
                <c:pt idx="0">
                  <c:v>0.04</c:v>
                </c:pt>
                <c:pt idx="1">
                  <c:v>0.05</c:v>
                </c:pt>
                <c:pt idx="2">
                  <c:v>0.06</c:v>
                </c:pt>
                <c:pt idx="3">
                  <c:v>7.0000000000000007E-2</c:v>
                </c:pt>
                <c:pt idx="4">
                  <c:v>0.08</c:v>
                </c:pt>
                <c:pt idx="5">
                  <c:v>0.09</c:v>
                </c:pt>
                <c:pt idx="6">
                  <c:v>0.1</c:v>
                </c:pt>
                <c:pt idx="7">
                  <c:v>0.11</c:v>
                </c:pt>
                <c:pt idx="8">
                  <c:v>0.12</c:v>
                </c:pt>
                <c:pt idx="9">
                  <c:v>0.13</c:v>
                </c:pt>
                <c:pt idx="10">
                  <c:v>0.14000000000000001</c:v>
                </c:pt>
                <c:pt idx="11">
                  <c:v>0.15</c:v>
                </c:pt>
              </c:numCache>
            </c:numRef>
          </c:xVal>
          <c:yVal>
            <c:numRef>
              <c:f>'INJET 388-CRD - Kalkulace'!$Y$8:$Y$19</c:f>
              <c:numCache>
                <c:formatCode>#,##0</c:formatCode>
                <c:ptCount val="12"/>
                <c:pt idx="0">
                  <c:v>942</c:v>
                </c:pt>
                <c:pt idx="1">
                  <c:v>788</c:v>
                </c:pt>
                <c:pt idx="2">
                  <c:v>649</c:v>
                </c:pt>
                <c:pt idx="3">
                  <c:v>526</c:v>
                </c:pt>
                <c:pt idx="4">
                  <c:v>414</c:v>
                </c:pt>
                <c:pt idx="5">
                  <c:v>314</c:v>
                </c:pt>
                <c:pt idx="6">
                  <c:v>224</c:v>
                </c:pt>
                <c:pt idx="7">
                  <c:v>142</c:v>
                </c:pt>
                <c:pt idx="8">
                  <c:v>68</c:v>
                </c:pt>
                <c:pt idx="9">
                  <c:v>1.5</c:v>
                </c:pt>
                <c:pt idx="10">
                  <c:v>-59</c:v>
                </c:pt>
                <c:pt idx="11">
                  <c:v>-114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364872"/>
        <c:axId val="328203384"/>
      </c:scatterChart>
      <c:valAx>
        <c:axId val="328364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Diskont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3384"/>
        <c:crosses val="autoZero"/>
        <c:crossBetween val="midCat"/>
      </c:valAx>
      <c:valAx>
        <c:axId val="328203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NPV [tis. Kč]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364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5545437437596349"/>
          <c:y val="0.9065071570627693"/>
          <c:w val="0.68596956374191342"/>
          <c:h val="7.89799438563262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Závislost NPV na diskotní sazbě při poč. ceně za cyklus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9754149131956595E-2"/>
          <c:y val="0.1027830722350659"/>
          <c:w val="0.87547743390397226"/>
          <c:h val="0.77064637029568817"/>
        </c:manualLayout>
      </c:layout>
      <c:scatterChart>
        <c:scatterStyle val="lineMarker"/>
        <c:varyColors val="0"/>
        <c:ser>
          <c:idx val="0"/>
          <c:order val="0"/>
          <c:tx>
            <c:v>INJET 388-CRD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7030A0"/>
                </a:solidFill>
                <a:prstDash val="solid"/>
              </a:ln>
              <a:effectLst/>
            </c:spPr>
            <c:trendlineType val="poly"/>
            <c:order val="2"/>
            <c:forward val="1.0000000000000002E-2"/>
            <c:backward val="3.9000000000000007E-2"/>
            <c:dispRSqr val="0"/>
            <c:dispEq val="0"/>
          </c:trendline>
          <c:xVal>
            <c:numRef>
              <c:f>'INJET 388-CRD - Kalkulace'!$Z$8:$Z$19</c:f>
              <c:numCache>
                <c:formatCode>0%</c:formatCode>
                <c:ptCount val="12"/>
                <c:pt idx="0">
                  <c:v>0.04</c:v>
                </c:pt>
                <c:pt idx="1">
                  <c:v>0.05</c:v>
                </c:pt>
                <c:pt idx="2">
                  <c:v>0.06</c:v>
                </c:pt>
                <c:pt idx="3">
                  <c:v>7.0000000000000007E-2</c:v>
                </c:pt>
                <c:pt idx="4">
                  <c:v>0.08</c:v>
                </c:pt>
                <c:pt idx="5">
                  <c:v>0.09</c:v>
                </c:pt>
                <c:pt idx="6">
                  <c:v>0.1</c:v>
                </c:pt>
                <c:pt idx="7">
                  <c:v>0.11</c:v>
                </c:pt>
                <c:pt idx="8">
                  <c:v>0.12</c:v>
                </c:pt>
                <c:pt idx="9">
                  <c:v>0.13</c:v>
                </c:pt>
                <c:pt idx="10">
                  <c:v>0.14000000000000001</c:v>
                </c:pt>
                <c:pt idx="11">
                  <c:v>0.15</c:v>
                </c:pt>
              </c:numCache>
            </c:numRef>
          </c:xVal>
          <c:yVal>
            <c:numRef>
              <c:f>'INJET 388-CRD - Kalkulace'!$X$8:$X$19</c:f>
              <c:numCache>
                <c:formatCode>#,##0</c:formatCode>
                <c:ptCount val="12"/>
                <c:pt idx="0">
                  <c:v>491</c:v>
                </c:pt>
                <c:pt idx="1">
                  <c:v>370</c:v>
                </c:pt>
                <c:pt idx="2">
                  <c:v>262</c:v>
                </c:pt>
                <c:pt idx="3">
                  <c:v>165</c:v>
                </c:pt>
                <c:pt idx="4">
                  <c:v>78</c:v>
                </c:pt>
                <c:pt idx="5">
                  <c:v>0</c:v>
                </c:pt>
                <c:pt idx="6">
                  <c:v>-70</c:v>
                </c:pt>
                <c:pt idx="7">
                  <c:v>-134</c:v>
                </c:pt>
                <c:pt idx="8">
                  <c:v>-191</c:v>
                </c:pt>
                <c:pt idx="9">
                  <c:v>-243</c:v>
                </c:pt>
                <c:pt idx="10">
                  <c:v>-290</c:v>
                </c:pt>
                <c:pt idx="11">
                  <c:v>-332</c:v>
                </c:pt>
              </c:numCache>
            </c:numRef>
          </c:yVal>
          <c:smooth val="0"/>
        </c:ser>
        <c:ser>
          <c:idx val="2"/>
          <c:order val="1"/>
          <c:tx>
            <c:v>Mini SWASH II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poly"/>
            <c:order val="2"/>
            <c:forward val="1.0000000000000002E-2"/>
            <c:backward val="3.9000000000000007E-2"/>
            <c:dispRSqr val="0"/>
            <c:dispEq val="0"/>
          </c:trendline>
          <c:xVal>
            <c:numRef>
              <c:f>'Mini SWASH II - Kalkulace'!$U$9:$U$20</c:f>
              <c:numCache>
                <c:formatCode>0%</c:formatCode>
                <c:ptCount val="12"/>
                <c:pt idx="0">
                  <c:v>0.04</c:v>
                </c:pt>
                <c:pt idx="1">
                  <c:v>0.05</c:v>
                </c:pt>
                <c:pt idx="2">
                  <c:v>0.06</c:v>
                </c:pt>
                <c:pt idx="3">
                  <c:v>7.0000000000000007E-2</c:v>
                </c:pt>
                <c:pt idx="4">
                  <c:v>0.08</c:v>
                </c:pt>
                <c:pt idx="5">
                  <c:v>0.09</c:v>
                </c:pt>
                <c:pt idx="6">
                  <c:v>0.1</c:v>
                </c:pt>
                <c:pt idx="7">
                  <c:v>0.11</c:v>
                </c:pt>
                <c:pt idx="8">
                  <c:v>0.12</c:v>
                </c:pt>
                <c:pt idx="9">
                  <c:v>0.13</c:v>
                </c:pt>
                <c:pt idx="10">
                  <c:v>0.14000000000000001</c:v>
                </c:pt>
                <c:pt idx="11">
                  <c:v>0.15</c:v>
                </c:pt>
              </c:numCache>
            </c:numRef>
          </c:xVal>
          <c:yVal>
            <c:numRef>
              <c:f>'Mini SWASH II - Kalkulace'!$S$9:$S$20</c:f>
              <c:numCache>
                <c:formatCode>#,##0</c:formatCode>
                <c:ptCount val="12"/>
                <c:pt idx="0">
                  <c:v>410</c:v>
                </c:pt>
                <c:pt idx="1">
                  <c:v>314</c:v>
                </c:pt>
                <c:pt idx="2">
                  <c:v>225</c:v>
                </c:pt>
                <c:pt idx="3">
                  <c:v>144</c:v>
                </c:pt>
                <c:pt idx="4">
                  <c:v>68</c:v>
                </c:pt>
                <c:pt idx="5">
                  <c:v>0</c:v>
                </c:pt>
                <c:pt idx="6">
                  <c:v>-63</c:v>
                </c:pt>
                <c:pt idx="7">
                  <c:v>-122</c:v>
                </c:pt>
                <c:pt idx="8">
                  <c:v>-175</c:v>
                </c:pt>
                <c:pt idx="9">
                  <c:v>-224</c:v>
                </c:pt>
                <c:pt idx="10">
                  <c:v>-270</c:v>
                </c:pt>
                <c:pt idx="11">
                  <c:v>-313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205736"/>
        <c:axId val="328202992"/>
      </c:scatterChart>
      <c:valAx>
        <c:axId val="328205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Diskont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2992"/>
        <c:crosses val="autoZero"/>
        <c:crossBetween val="midCat"/>
      </c:valAx>
      <c:valAx>
        <c:axId val="32820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NPV [tis. Kč]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5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6166343434901987E-2"/>
          <c:y val="0.9065071570627693"/>
          <c:w val="0.84454562562403646"/>
          <c:h val="8.74182257574212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Závoslost NPV na počáteční ceně  za jeden mycí cyklus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olid"/>
              </a:ln>
              <a:effectLst/>
            </c:spPr>
            <c:trendlineType val="linear"/>
            <c:forward val="500"/>
            <c:backward val="430"/>
            <c:dispRSqr val="0"/>
            <c:dispEq val="0"/>
          </c:trendline>
          <c:xVal>
            <c:numRef>
              <c:f>'INJET 388-CRD - Kalkulace'!$V$7:$V$9</c:f>
              <c:numCache>
                <c:formatCode>General</c:formatCode>
                <c:ptCount val="3"/>
                <c:pt idx="0" formatCode="0">
                  <c:v>431</c:v>
                </c:pt>
                <c:pt idx="1">
                  <c:v>458</c:v>
                </c:pt>
                <c:pt idx="2">
                  <c:v>487</c:v>
                </c:pt>
              </c:numCache>
            </c:numRef>
          </c:xVal>
          <c:yVal>
            <c:numRef>
              <c:f>'INJET 388-CRD - Kalkulace'!$U$7:$U$9</c:f>
              <c:numCache>
                <c:formatCode>#,##0</c:formatCode>
                <c:ptCount val="3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207304"/>
        <c:axId val="328201032"/>
      </c:scatterChart>
      <c:valAx>
        <c:axId val="328207304"/>
        <c:scaling>
          <c:orientation val="minMax"/>
          <c:max val="100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Cena za cyklus [Kč]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1032"/>
        <c:crosses val="autoZero"/>
        <c:crossBetween val="midCat"/>
      </c:valAx>
      <c:valAx>
        <c:axId val="328201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NPV [tis. 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7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890000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/>
              <a:t>Znázornění bodu zvratu</a:t>
            </a:r>
          </a:p>
        </c:rich>
      </c:tx>
      <c:layout>
        <c:manualLayout>
          <c:xMode val="edge"/>
          <c:yMode val="edge"/>
          <c:x val="0.44272739115331178"/>
          <c:y val="1.73913043478260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3033751640419947"/>
          <c:y val="0.1075072463768116"/>
          <c:w val="0.826084003975606"/>
          <c:h val="0.71161360264749518"/>
        </c:manualLayout>
      </c:layout>
      <c:scatterChart>
        <c:scatterStyle val="smoothMarker"/>
        <c:varyColors val="0"/>
        <c:ser>
          <c:idx val="0"/>
          <c:order val="0"/>
          <c:tx>
            <c:v>Náklady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'INJET 388-CRD - Kalkulace'!$D$63:$N$63</c:f>
              <c:numCache>
                <c:formatCode>#,##0</c:formatCode>
                <c:ptCount val="11"/>
                <c:pt idx="0">
                  <c:v>1250</c:v>
                </c:pt>
                <c:pt idx="1">
                  <c:v>2725</c:v>
                </c:pt>
                <c:pt idx="2">
                  <c:v>4465.5</c:v>
                </c:pt>
                <c:pt idx="3">
                  <c:v>6519.29</c:v>
                </c:pt>
                <c:pt idx="4">
                  <c:v>8942.762200000001</c:v>
                </c:pt>
                <c:pt idx="5">
                  <c:v>11802.459396000002</c:v>
                </c:pt>
                <c:pt idx="6">
                  <c:v>14662.156592000003</c:v>
                </c:pt>
                <c:pt idx="7">
                  <c:v>17521.853788000004</c:v>
                </c:pt>
                <c:pt idx="8">
                  <c:v>20381.550984000005</c:v>
                </c:pt>
                <c:pt idx="9">
                  <c:v>23241.248180000006</c:v>
                </c:pt>
                <c:pt idx="10">
                  <c:v>26100.945376000007</c:v>
                </c:pt>
              </c:numCache>
            </c:numRef>
          </c:xVal>
          <c:yVal>
            <c:numRef>
              <c:f>'INJET 388-CRD - Kalkulace'!$D$64:$N$64</c:f>
              <c:numCache>
                <c:formatCode>#\ ##0\ "Kč"</c:formatCode>
                <c:ptCount val="11"/>
                <c:pt idx="0">
                  <c:v>736035.51916666667</c:v>
                </c:pt>
                <c:pt idx="1">
                  <c:v>1537615.0858833333</c:v>
                </c:pt>
                <c:pt idx="2">
                  <c:v>2411759.2827797597</c:v>
                </c:pt>
                <c:pt idx="3">
                  <c:v>3370792.8116719341</c:v>
                </c:pt>
                <c:pt idx="4">
                  <c:v>4429469.2823943011</c:v>
                </c:pt>
                <c:pt idx="5">
                  <c:v>5605461.9522903878</c:v>
                </c:pt>
                <c:pt idx="6">
                  <c:v>6808621.059457548</c:v>
                </c:pt>
                <c:pt idx="7">
                  <c:v>8039640.1745612314</c:v>
                </c:pt>
                <c:pt idx="8">
                  <c:v>9299231.2469377983</c:v>
                </c:pt>
                <c:pt idx="9">
                  <c:v>10588125.107385667</c:v>
                </c:pt>
                <c:pt idx="10">
                  <c:v>11907071.985068811</c:v>
                </c:pt>
              </c:numCache>
            </c:numRef>
          </c:yVal>
          <c:smooth val="1"/>
        </c:ser>
        <c:ser>
          <c:idx val="1"/>
          <c:order val="1"/>
          <c:tx>
            <c:v>Výnosy - 431 Kč/cyklus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'INJET 388-CRD - Kalkulace'!$D$63:$N$63</c:f>
              <c:numCache>
                <c:formatCode>#,##0</c:formatCode>
                <c:ptCount val="11"/>
                <c:pt idx="0">
                  <c:v>1250</c:v>
                </c:pt>
                <c:pt idx="1">
                  <c:v>2725</c:v>
                </c:pt>
                <c:pt idx="2">
                  <c:v>4465.5</c:v>
                </c:pt>
                <c:pt idx="3">
                  <c:v>6519.29</c:v>
                </c:pt>
                <c:pt idx="4">
                  <c:v>8942.762200000001</c:v>
                </c:pt>
                <c:pt idx="5">
                  <c:v>11802.459396000002</c:v>
                </c:pt>
                <c:pt idx="6">
                  <c:v>14662.156592000003</c:v>
                </c:pt>
                <c:pt idx="7">
                  <c:v>17521.853788000004</c:v>
                </c:pt>
                <c:pt idx="8">
                  <c:v>20381.550984000005</c:v>
                </c:pt>
                <c:pt idx="9">
                  <c:v>23241.248180000006</c:v>
                </c:pt>
                <c:pt idx="10">
                  <c:v>26100.945376000007</c:v>
                </c:pt>
              </c:numCache>
            </c:numRef>
          </c:xVal>
          <c:yVal>
            <c:numRef>
              <c:f>'INJET 388-CRD - Kalkulace'!$D$67:$N$67</c:f>
              <c:numCache>
                <c:formatCode>#\ ##0\ "Kč"</c:formatCode>
                <c:ptCount val="11"/>
                <c:pt idx="0">
                  <c:v>538180.09919969703</c:v>
                </c:pt>
                <c:pt idx="1">
                  <c:v>1185933.6665964522</c:v>
                </c:pt>
                <c:pt idx="2">
                  <c:v>1965569.8603151869</c:v>
                </c:pt>
                <c:pt idx="3">
                  <c:v>2903939.9830750562</c:v>
                </c:pt>
                <c:pt idx="4">
                  <c:v>4033362.2628288348</c:v>
                </c:pt>
                <c:pt idx="5">
                  <c:v>5392734.918740483</c:v>
                </c:pt>
                <c:pt idx="6">
                  <c:v>6779295.0277703637</c:v>
                </c:pt>
                <c:pt idx="7">
                  <c:v>8193586.3389808424</c:v>
                </c:pt>
                <c:pt idx="8">
                  <c:v>9636163.4764155298</c:v>
                </c:pt>
                <c:pt idx="9">
                  <c:v>11107592.156598913</c:v>
                </c:pt>
                <c:pt idx="10">
                  <c:v>12608449.410385963</c:v>
                </c:pt>
              </c:numCache>
            </c:numRef>
          </c:yVal>
          <c:smooth val="1"/>
        </c:ser>
        <c:ser>
          <c:idx val="2"/>
          <c:order val="2"/>
          <c:tx>
            <c:v>Výnosy - 448 Kč/cyklus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'INJET 388-CRD - Kalkulace'!$D$63:$N$63</c:f>
              <c:numCache>
                <c:formatCode>#,##0</c:formatCode>
                <c:ptCount val="11"/>
                <c:pt idx="0">
                  <c:v>1250</c:v>
                </c:pt>
                <c:pt idx="1">
                  <c:v>2725</c:v>
                </c:pt>
                <c:pt idx="2">
                  <c:v>4465.5</c:v>
                </c:pt>
                <c:pt idx="3">
                  <c:v>6519.29</c:v>
                </c:pt>
                <c:pt idx="4">
                  <c:v>8942.762200000001</c:v>
                </c:pt>
                <c:pt idx="5">
                  <c:v>11802.459396000002</c:v>
                </c:pt>
                <c:pt idx="6">
                  <c:v>14662.156592000003</c:v>
                </c:pt>
                <c:pt idx="7">
                  <c:v>17521.853788000004</c:v>
                </c:pt>
                <c:pt idx="8">
                  <c:v>20381.550984000005</c:v>
                </c:pt>
                <c:pt idx="9">
                  <c:v>23241.248180000006</c:v>
                </c:pt>
                <c:pt idx="10">
                  <c:v>26100.945376000007</c:v>
                </c:pt>
              </c:numCache>
            </c:numRef>
          </c:xVal>
          <c:yVal>
            <c:numRef>
              <c:f>'INJET 388-CRD - Kalkulace'!$D$75:$N$75</c:f>
              <c:numCache>
                <c:formatCode>#\ ##0\ "Kč"</c:formatCode>
                <c:ptCount val="11"/>
                <c:pt idx="0">
                  <c:v>560000</c:v>
                </c:pt>
                <c:pt idx="1">
                  <c:v>1234016</c:v>
                </c:pt>
                <c:pt idx="2">
                  <c:v>2045261.6576</c:v>
                </c:pt>
                <c:pt idx="3">
                  <c:v>3021676.9310873598</c:v>
                </c:pt>
                <c:pt idx="4">
                  <c:v>4196890.3542567464</c:v>
                </c:pt>
                <c:pt idx="5">
                  <c:v>5611377.2303834204</c:v>
                </c:pt>
                <c:pt idx="6">
                  <c:v>7054153.8440326275</c:v>
                </c:pt>
                <c:pt idx="7">
                  <c:v>8525785.989954818</c:v>
                </c:pt>
                <c:pt idx="8">
                  <c:v>10026850.778795453</c:v>
                </c:pt>
                <c:pt idx="9">
                  <c:v>11557936.863412902</c:v>
                </c:pt>
                <c:pt idx="10">
                  <c:v>13119644.669722699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203776"/>
        <c:axId val="328206128"/>
      </c:scatterChart>
      <c:valAx>
        <c:axId val="328203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6128"/>
        <c:crosses val="autoZero"/>
        <c:crossBetween val="midCat"/>
      </c:valAx>
      <c:valAx>
        <c:axId val="3282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Náklady, Výnosy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3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661986645051724"/>
          <c:y val="0.90161908022366777"/>
          <c:w val="0.66640709433379652"/>
          <c:h val="9.60510617990932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108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>
          <a:solidFill>
            <a:schemeClr val="tx1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Prostá doba návratnosti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585548726901859"/>
          <c:y val="0.12513495276653172"/>
          <c:w val="0.79526912439416519"/>
          <c:h val="0.71477120554735862"/>
        </c:manualLayout>
      </c:layout>
      <c:scatterChart>
        <c:scatterStyle val="smoothMarker"/>
        <c:varyColors val="0"/>
        <c:ser>
          <c:idx val="0"/>
          <c:order val="0"/>
          <c:tx>
            <c:v>Kapitálový výdaj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'INJET 388-CRD - Kalkulace'!$D$3:$R$3</c:f>
              <c:numCache>
                <c:formatCode>General</c:formatCod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numCache>
            </c:numRef>
          </c:xVal>
          <c:yVal>
            <c:numRef>
              <c:f>'INJET 388-CRD - Kalkulace'!$D$62:$R$62</c:f>
              <c:numCache>
                <c:formatCode>#\ ##0\ "Kč"</c:formatCode>
                <c:ptCount val="15"/>
                <c:pt idx="0">
                  <c:v>668602</c:v>
                </c:pt>
                <c:pt idx="1">
                  <c:v>668602</c:v>
                </c:pt>
                <c:pt idx="2">
                  <c:v>668602</c:v>
                </c:pt>
                <c:pt idx="3">
                  <c:v>668602</c:v>
                </c:pt>
                <c:pt idx="4">
                  <c:v>668602</c:v>
                </c:pt>
                <c:pt idx="5">
                  <c:v>668602</c:v>
                </c:pt>
                <c:pt idx="6">
                  <c:v>668602</c:v>
                </c:pt>
                <c:pt idx="7">
                  <c:v>668602</c:v>
                </c:pt>
                <c:pt idx="8">
                  <c:v>668602</c:v>
                </c:pt>
                <c:pt idx="9">
                  <c:v>668602</c:v>
                </c:pt>
                <c:pt idx="10">
                  <c:v>668602</c:v>
                </c:pt>
                <c:pt idx="11">
                  <c:v>668602</c:v>
                </c:pt>
                <c:pt idx="12">
                  <c:v>668602</c:v>
                </c:pt>
                <c:pt idx="13">
                  <c:v>668602</c:v>
                </c:pt>
                <c:pt idx="14">
                  <c:v>668602</c:v>
                </c:pt>
              </c:numCache>
            </c:numRef>
          </c:yVal>
          <c:smooth val="1"/>
        </c:ser>
        <c:ser>
          <c:idx val="1"/>
          <c:order val="1"/>
          <c:tx>
            <c:v>431 Kč/cyklus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'INJET 388-CRD - Kalkulace'!$D$3:$R$3</c:f>
              <c:numCache>
                <c:formatCode>General</c:formatCod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numCache>
            </c:numRef>
          </c:xVal>
          <c:yVal>
            <c:numRef>
              <c:f>'INJET 388-CRD - Kalkulace'!$D$70:$R$70</c:f>
              <c:numCache>
                <c:formatCode>#\ ##0\ "Kč"</c:formatCode>
                <c:ptCount val="15"/>
                <c:pt idx="0">
                  <c:v>-153281.95330030296</c:v>
                </c:pt>
                <c:pt idx="1">
                  <c:v>-262534.48595354753</c:v>
                </c:pt>
                <c:pt idx="2">
                  <c:v>-312469.02246457268</c:v>
                </c:pt>
                <c:pt idx="3">
                  <c:v>-288558.96193021093</c:v>
                </c:pt>
                <c:pt idx="4">
                  <c:v>-173239.68623213307</c:v>
                </c:pt>
                <c:pt idx="5">
                  <c:v>54713.76645009499</c:v>
                </c:pt>
                <c:pt idx="6">
                  <c:v>282688.23497948283</c:v>
                </c:pt>
                <c:pt idx="7">
                  <c:v>510533.89775294461</c:v>
                </c:pt>
                <c:pt idx="8">
                  <c:v>719395.87922599562</c:v>
                </c:pt>
                <c:pt idx="9">
                  <c:v>903353.59121176135</c:v>
                </c:pt>
                <c:pt idx="10">
                  <c:v>1086805.5038559253</c:v>
                </c:pt>
                <c:pt idx="11">
                  <c:v>1269604.5313019091</c:v>
                </c:pt>
                <c:pt idx="12">
                  <c:v>1451596.536879912</c:v>
                </c:pt>
                <c:pt idx="13">
                  <c:v>1632620.0688177608</c:v>
                </c:pt>
                <c:pt idx="14">
                  <c:v>1812506.0869677949</c:v>
                </c:pt>
              </c:numCache>
            </c:numRef>
          </c:yVal>
          <c:smooth val="1"/>
        </c:ser>
        <c:ser>
          <c:idx val="2"/>
          <c:order val="2"/>
          <c:tx>
            <c:v>448 Kč/cyklus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'INJET 388-CRD - Kalkulace'!$D$3:$R$3</c:f>
              <c:numCache>
                <c:formatCode>General</c:formatCod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numCache>
            </c:numRef>
          </c:xVal>
          <c:yVal>
            <c:numRef>
              <c:f>'INJET 388-CRD - Kalkulace'!$D$78:$R$78</c:f>
              <c:numCache>
                <c:formatCode>#\ ##0\ "Kč"</c:formatCode>
                <c:ptCount val="15"/>
                <c:pt idx="0">
                  <c:v>-131462.05249999999</c:v>
                </c:pt>
                <c:pt idx="1">
                  <c:v>-214452.15254999988</c:v>
                </c:pt>
                <c:pt idx="2">
                  <c:v>-232777.22517975979</c:v>
                </c:pt>
                <c:pt idx="3">
                  <c:v>-170822.01391790726</c:v>
                </c:pt>
                <c:pt idx="4">
                  <c:v>-9711.594804221415</c:v>
                </c:pt>
                <c:pt idx="5">
                  <c:v>273356.07809303224</c:v>
                </c:pt>
                <c:pt idx="6">
                  <c:v>557547.05124174606</c:v>
                </c:pt>
                <c:pt idx="7">
                  <c:v>809648.55446880544</c:v>
                </c:pt>
                <c:pt idx="8">
                  <c:v>1041346.7728047001</c:v>
                </c:pt>
                <c:pt idx="9">
                  <c:v>1273626.9823820591</c:v>
                </c:pt>
                <c:pt idx="10">
                  <c:v>1506367.8425696481</c:v>
                </c:pt>
                <c:pt idx="11">
                  <c:v>1739441.5965099258</c:v>
                </c:pt>
                <c:pt idx="12">
                  <c:v>1972713.8231121083</c:v>
                </c:pt>
                <c:pt idx="13">
                  <c:v>2206043.1804946205</c:v>
                </c:pt>
                <c:pt idx="14">
                  <c:v>2439281.140598211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206912"/>
        <c:axId val="328200640"/>
      </c:scatterChart>
      <c:valAx>
        <c:axId val="328206912"/>
        <c:scaling>
          <c:orientation val="minMax"/>
          <c:min val="2016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0640"/>
        <c:crosses val="autoZero"/>
        <c:crossBetween val="midCat"/>
      </c:valAx>
      <c:valAx>
        <c:axId val="32820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Kč</a:t>
                </a:r>
              </a:p>
            </c:rich>
          </c:tx>
          <c:layout>
            <c:manualLayout>
              <c:xMode val="edge"/>
              <c:yMode val="edge"/>
              <c:x val="1.866368047779022E-3"/>
              <c:y val="0.422756976806470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\ _K_č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6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427130819173919"/>
          <c:y val="0.93431941137227992"/>
          <c:w val="0.65215646336481181"/>
          <c:h val="6.28385773640642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0" scaled="1"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chemeClr val="tx1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600"/>
              <a:t>Diskontovaná doba návratnosti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585548726901859"/>
          <c:y val="0.12513495276653172"/>
          <c:w val="0.79526912439416519"/>
          <c:h val="0.74569266504024667"/>
        </c:manualLayout>
      </c:layout>
      <c:scatterChart>
        <c:scatterStyle val="smoothMarker"/>
        <c:varyColors val="0"/>
        <c:ser>
          <c:idx val="0"/>
          <c:order val="0"/>
          <c:tx>
            <c:v>Kapitálový výdaj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'INJET 388-CRD - Kalkulace'!$D$3:$R$3</c:f>
              <c:numCache>
                <c:formatCode>General</c:formatCod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numCache>
            </c:numRef>
          </c:xVal>
          <c:yVal>
            <c:numRef>
              <c:f>'INJET 388-CRD - Kalkulace'!$D$62:$R$62</c:f>
              <c:numCache>
                <c:formatCode>#\ ##0\ "Kč"</c:formatCode>
                <c:ptCount val="15"/>
                <c:pt idx="0">
                  <c:v>668602</c:v>
                </c:pt>
                <c:pt idx="1">
                  <c:v>668602</c:v>
                </c:pt>
                <c:pt idx="2">
                  <c:v>668602</c:v>
                </c:pt>
                <c:pt idx="3">
                  <c:v>668602</c:v>
                </c:pt>
                <c:pt idx="4">
                  <c:v>668602</c:v>
                </c:pt>
                <c:pt idx="5">
                  <c:v>668602</c:v>
                </c:pt>
                <c:pt idx="6">
                  <c:v>668602</c:v>
                </c:pt>
                <c:pt idx="7">
                  <c:v>668602</c:v>
                </c:pt>
                <c:pt idx="8">
                  <c:v>668602</c:v>
                </c:pt>
                <c:pt idx="9">
                  <c:v>668602</c:v>
                </c:pt>
                <c:pt idx="10">
                  <c:v>668602</c:v>
                </c:pt>
                <c:pt idx="11">
                  <c:v>668602</c:v>
                </c:pt>
                <c:pt idx="12">
                  <c:v>668602</c:v>
                </c:pt>
                <c:pt idx="13">
                  <c:v>668602</c:v>
                </c:pt>
                <c:pt idx="14">
                  <c:v>668602</c:v>
                </c:pt>
              </c:numCache>
            </c:numRef>
          </c:yVal>
          <c:smooth val="1"/>
        </c:ser>
        <c:ser>
          <c:idx val="1"/>
          <c:order val="1"/>
          <c:tx>
            <c:v>431 Kč/cyklus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'INJET 388-CRD - Kalkulace'!$D$3:$R$3</c:f>
              <c:numCache>
                <c:formatCode>General</c:formatCod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numCache>
            </c:numRef>
          </c:xVal>
          <c:yVal>
            <c:numRef>
              <c:f>'INJET 388-CRD - Kalkulace'!$D$72:$R$72</c:f>
              <c:numCache>
                <c:formatCode>#\ ##0\ "Kč"</c:formatCode>
                <c:ptCount val="15"/>
                <c:pt idx="0">
                  <c:v>-140625.64522963573</c:v>
                </c:pt>
                <c:pt idx="1">
                  <c:v>-232581.31617757323</c:v>
                </c:pt>
                <c:pt idx="2">
                  <c:v>-271139.94035589288</c:v>
                </c:pt>
                <c:pt idx="3">
                  <c:v>-254201.45067525603</c:v>
                </c:pt>
                <c:pt idx="4">
                  <c:v>-179251.83395388321</c:v>
                </c:pt>
                <c:pt idx="5">
                  <c:v>-43330.638070163288</c:v>
                </c:pt>
                <c:pt idx="6">
                  <c:v>81379.203165366998</c:v>
                </c:pt>
                <c:pt idx="7">
                  <c:v>195727.25828106038</c:v>
                </c:pt>
                <c:pt idx="8">
                  <c:v>291893.11663607205</c:v>
                </c:pt>
                <c:pt idx="9">
                  <c:v>369598.84219066409</c:v>
                </c:pt>
                <c:pt idx="10">
                  <c:v>440692.48480220418</c:v>
                </c:pt>
                <c:pt idx="11">
                  <c:v>505683.88677443319</c:v>
                </c:pt>
                <c:pt idx="12">
                  <c:v>565045.79289759253</c:v>
                </c:pt>
                <c:pt idx="13">
                  <c:v>619216.44491747417</c:v>
                </c:pt>
                <c:pt idx="14">
                  <c:v>668602.00000000047</c:v>
                </c:pt>
              </c:numCache>
            </c:numRef>
          </c:yVal>
          <c:smooth val="1"/>
        </c:ser>
        <c:ser>
          <c:idx val="2"/>
          <c:order val="2"/>
          <c:tx>
            <c:v>448 Kč/cyklus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'INJET 388-CRD - Kalkulace'!$D$3:$R$3</c:f>
              <c:numCache>
                <c:formatCode>General</c:formatCod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numCache>
            </c:numRef>
          </c:xVal>
          <c:yVal>
            <c:numRef>
              <c:f>'INJET 388-CRD - Kalkulace'!$D$80:$R$80</c:f>
              <c:numCache>
                <c:formatCode>#\ ##0\ "Kč"</c:formatCode>
                <c:ptCount val="15"/>
                <c:pt idx="0">
                  <c:v>-120607.38761467888</c:v>
                </c:pt>
                <c:pt idx="1">
                  <c:v>-190458.49446595393</c:v>
                </c:pt>
                <c:pt idx="2">
                  <c:v>-204608.81282157369</c:v>
                </c:pt>
                <c:pt idx="3">
                  <c:v>-160718.17920680699</c:v>
                </c:pt>
                <c:pt idx="4">
                  <c:v>-56007.461165141722</c:v>
                </c:pt>
                <c:pt idx="5">
                  <c:v>112776.54347922397</c:v>
                </c:pt>
                <c:pt idx="6">
                  <c:v>268238.73786691809</c:v>
                </c:pt>
                <c:pt idx="7">
                  <c:v>394759.98139139474</c:v>
                </c:pt>
                <c:pt idx="8">
                  <c:v>501440.27757767378</c:v>
                </c:pt>
                <c:pt idx="9">
                  <c:v>599557.9483311458</c:v>
                </c:pt>
                <c:pt idx="10">
                  <c:v>689752.67727558268</c:v>
                </c:pt>
                <c:pt idx="11">
                  <c:v>772618.49031162332</c:v>
                </c:pt>
                <c:pt idx="12">
                  <c:v>848706.90954036789</c:v>
                </c:pt>
                <c:pt idx="13">
                  <c:v>918529.89492510911</c:v>
                </c:pt>
                <c:pt idx="14">
                  <c:v>982562.58765181596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201424"/>
        <c:axId val="328199856"/>
      </c:scatterChart>
      <c:valAx>
        <c:axId val="328201424"/>
        <c:scaling>
          <c:orientation val="minMax"/>
          <c:min val="2016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Rok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199856"/>
        <c:crosses val="autoZero"/>
        <c:crossBetween val="midCat"/>
      </c:valAx>
      <c:valAx>
        <c:axId val="32819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cs-CZ"/>
                  <a:t>Kč</a:t>
                </a:r>
              </a:p>
            </c:rich>
          </c:tx>
          <c:layout>
            <c:manualLayout>
              <c:xMode val="edge"/>
              <c:yMode val="edge"/>
              <c:x val="1.3064576334453154E-2"/>
              <c:y val="0.422756976806470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cs-CZ"/>
            </a:p>
          </c:txPr>
        </c:title>
        <c:numFmt formatCode="#,##0\ _K_č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328201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240494014396016"/>
          <c:y val="0.93431941137227992"/>
          <c:w val="0.65215646336481181"/>
          <c:h val="6.28385773640642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5000"/>
            <a:lumOff val="95000"/>
          </a:schemeClr>
        </a:gs>
        <a:gs pos="74000">
          <a:schemeClr val="accent3">
            <a:lumMod val="45000"/>
            <a:lumOff val="55000"/>
          </a:schemeClr>
        </a:gs>
        <a:gs pos="83000">
          <a:schemeClr val="accent3">
            <a:lumMod val="45000"/>
            <a:lumOff val="55000"/>
          </a:schemeClr>
        </a:gs>
        <a:gs pos="100000">
          <a:schemeClr val="accent3">
            <a:lumMod val="30000"/>
            <a:lumOff val="70000"/>
          </a:schemeClr>
        </a:gs>
      </a:gsLst>
      <a:lin ang="0" scaled="1"/>
      <a:tileRect/>
    </a:gradFill>
    <a:ln w="9525" cap="flat" cmpd="sng" algn="ctr">
      <a:noFill/>
      <a:round/>
    </a:ln>
    <a:effectLst/>
  </c:spPr>
  <c:txPr>
    <a:bodyPr/>
    <a:lstStyle/>
    <a:p>
      <a:pPr>
        <a:defRPr sz="1100" b="1">
          <a:solidFill>
            <a:schemeClr val="tx1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Relationship Id="rId6" Type="http://schemas.openxmlformats.org/officeDocument/2006/relationships/chart" Target="../charts/chart19.xml"/><Relationship Id="rId5" Type="http://schemas.openxmlformats.org/officeDocument/2006/relationships/chart" Target="../charts/chart18.xml"/><Relationship Id="rId4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472440</xdr:colOff>
      <xdr:row>17</xdr:row>
      <xdr:rowOff>106680</xdr:rowOff>
    </xdr:from>
    <xdr:to>
      <xdr:col>12</xdr:col>
      <xdr:colOff>190500</xdr:colOff>
      <xdr:row>39</xdr:row>
      <xdr:rowOff>53340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1569200</xdr:colOff>
      <xdr:row>58</xdr:row>
      <xdr:rowOff>74285</xdr:rowOff>
    </xdr:from>
    <xdr:to>
      <xdr:col>11</xdr:col>
      <xdr:colOff>166251</xdr:colOff>
      <xdr:row>87</xdr:row>
      <xdr:rowOff>159328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1817543</xdr:colOff>
      <xdr:row>86</xdr:row>
      <xdr:rowOff>148415</xdr:rowOff>
    </xdr:from>
    <xdr:to>
      <xdr:col>18</xdr:col>
      <xdr:colOff>13335</xdr:colOff>
      <xdr:row>115</xdr:row>
      <xdr:rowOff>46758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597303</xdr:colOff>
      <xdr:row>49</xdr:row>
      <xdr:rowOff>154305</xdr:rowOff>
    </xdr:from>
    <xdr:to>
      <xdr:col>21</xdr:col>
      <xdr:colOff>491489</xdr:colOff>
      <xdr:row>76</xdr:row>
      <xdr:rowOff>69965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173181</xdr:colOff>
      <xdr:row>32</xdr:row>
      <xdr:rowOff>20780</xdr:rowOff>
    </xdr:from>
    <xdr:to>
      <xdr:col>24</xdr:col>
      <xdr:colOff>276225</xdr:colOff>
      <xdr:row>54</xdr:row>
      <xdr:rowOff>123825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278675</xdr:colOff>
      <xdr:row>42</xdr:row>
      <xdr:rowOff>14967</xdr:rowOff>
    </xdr:from>
    <xdr:to>
      <xdr:col>35</xdr:col>
      <xdr:colOff>314817</xdr:colOff>
      <xdr:row>76</xdr:row>
      <xdr:rowOff>127769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1125854</xdr:colOff>
      <xdr:row>115</xdr:row>
      <xdr:rowOff>5714</xdr:rowOff>
    </xdr:from>
    <xdr:to>
      <xdr:col>52</xdr:col>
      <xdr:colOff>228599</xdr:colOff>
      <xdr:row>147</xdr:row>
      <xdr:rowOff>114300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924560</xdr:colOff>
      <xdr:row>42</xdr:row>
      <xdr:rowOff>86360</xdr:rowOff>
    </xdr:from>
    <xdr:to>
      <xdr:col>51</xdr:col>
      <xdr:colOff>152400</xdr:colOff>
      <xdr:row>74</xdr:row>
      <xdr:rowOff>114300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292100</xdr:colOff>
      <xdr:row>77</xdr:row>
      <xdr:rowOff>93980</xdr:rowOff>
    </xdr:from>
    <xdr:to>
      <xdr:col>35</xdr:col>
      <xdr:colOff>304800</xdr:colOff>
      <xdr:row>106</xdr:row>
      <xdr:rowOff>76200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506185</xdr:colOff>
      <xdr:row>107</xdr:row>
      <xdr:rowOff>59872</xdr:rowOff>
    </xdr:from>
    <xdr:to>
      <xdr:col>35</xdr:col>
      <xdr:colOff>342900</xdr:colOff>
      <xdr:row>138</xdr:row>
      <xdr:rowOff>114300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38</xdr:col>
      <xdr:colOff>0</xdr:colOff>
      <xdr:row>85</xdr:row>
      <xdr:rowOff>0</xdr:rowOff>
    </xdr:from>
    <xdr:to>
      <xdr:col>55</xdr:col>
      <xdr:colOff>12700</xdr:colOff>
      <xdr:row>113</xdr:row>
      <xdr:rowOff>27940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431800</xdr:colOff>
      <xdr:row>30</xdr:row>
      <xdr:rowOff>38100</xdr:rowOff>
    </xdr:from>
    <xdr:to>
      <xdr:col>22</xdr:col>
      <xdr:colOff>447040</xdr:colOff>
      <xdr:row>52</xdr:row>
      <xdr:rowOff>20320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43543</xdr:colOff>
      <xdr:row>1</xdr:row>
      <xdr:rowOff>97970</xdr:rowOff>
    </xdr:from>
    <xdr:to>
      <xdr:col>21</xdr:col>
      <xdr:colOff>65314</xdr:colOff>
      <xdr:row>36</xdr:row>
      <xdr:rowOff>87085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174172</xdr:colOff>
      <xdr:row>4</xdr:row>
      <xdr:rowOff>108857</xdr:rowOff>
    </xdr:from>
    <xdr:to>
      <xdr:col>43</xdr:col>
      <xdr:colOff>0</xdr:colOff>
      <xdr:row>31</xdr:row>
      <xdr:rowOff>43543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65314</xdr:colOff>
      <xdr:row>34</xdr:row>
      <xdr:rowOff>174171</xdr:rowOff>
    </xdr:from>
    <xdr:to>
      <xdr:col>45</xdr:col>
      <xdr:colOff>500742</xdr:colOff>
      <xdr:row>64</xdr:row>
      <xdr:rowOff>163286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306080</xdr:colOff>
      <xdr:row>70</xdr:row>
      <xdr:rowOff>9605</xdr:rowOff>
    </xdr:from>
    <xdr:to>
      <xdr:col>34</xdr:col>
      <xdr:colOff>262538</xdr:colOff>
      <xdr:row>96</xdr:row>
      <xdr:rowOff>68515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556260</xdr:colOff>
      <xdr:row>43</xdr:row>
      <xdr:rowOff>22860</xdr:rowOff>
    </xdr:from>
    <xdr:to>
      <xdr:col>34</xdr:col>
      <xdr:colOff>266700</xdr:colOff>
      <xdr:row>66</xdr:row>
      <xdr:rowOff>144780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624840</xdr:colOff>
      <xdr:row>75</xdr:row>
      <xdr:rowOff>76200</xdr:rowOff>
    </xdr:from>
    <xdr:to>
      <xdr:col>22</xdr:col>
      <xdr:colOff>99060</xdr:colOff>
      <xdr:row>97</xdr:row>
      <xdr:rowOff>152400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68580</xdr:colOff>
      <xdr:row>51</xdr:row>
      <xdr:rowOff>144780</xdr:rowOff>
    </xdr:from>
    <xdr:to>
      <xdr:col>33</xdr:col>
      <xdr:colOff>396240</xdr:colOff>
      <xdr:row>74</xdr:row>
      <xdr:rowOff>7620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54"/>
  <sheetViews>
    <sheetView topLeftCell="C1" workbookViewId="0">
      <selection activeCell="C12" sqref="C12"/>
    </sheetView>
  </sheetViews>
  <sheetFormatPr defaultRowHeight="13.8" x14ac:dyDescent="0.25"/>
  <cols>
    <col min="1" max="1" width="8.88671875" style="1"/>
    <col min="2" max="2" width="36.77734375" style="1" customWidth="1"/>
    <col min="3" max="3" width="12.6640625" style="1" customWidth="1"/>
    <col min="4" max="4" width="11" style="1" customWidth="1"/>
    <col min="5" max="5" width="11.77734375" style="1" customWidth="1"/>
    <col min="6" max="6" width="25.109375" style="1" customWidth="1"/>
    <col min="7" max="7" width="11.109375" style="1" customWidth="1"/>
    <col min="8" max="8" width="35.77734375" style="1" customWidth="1"/>
    <col min="9" max="9" width="12.109375" style="1" customWidth="1"/>
    <col min="10" max="10" width="12.77734375" style="1" customWidth="1"/>
    <col min="11" max="11" width="12.109375" style="1" customWidth="1"/>
    <col min="12" max="14" width="12.21875" style="1" customWidth="1"/>
    <col min="15" max="17" width="11.5546875" style="1" customWidth="1"/>
    <col min="18" max="18" width="11.44140625" style="1" customWidth="1"/>
    <col min="19" max="19" width="12.6640625" style="1" customWidth="1"/>
    <col min="20" max="20" width="12.77734375" style="1" customWidth="1"/>
    <col min="21" max="21" width="12.6640625" style="1" customWidth="1"/>
    <col min="22" max="22" width="9" style="1" customWidth="1"/>
    <col min="23" max="23" width="8.88671875" style="1"/>
    <col min="24" max="24" width="15" style="1" customWidth="1"/>
    <col min="25" max="16384" width="8.88671875" style="1"/>
  </cols>
  <sheetData>
    <row r="1" spans="1:11" ht="14.4" thickBot="1" x14ac:dyDescent="0.3">
      <c r="F1" s="1" t="s">
        <v>59</v>
      </c>
      <c r="G1" s="1">
        <v>27.02</v>
      </c>
    </row>
    <row r="2" spans="1:11" ht="24.6" customHeight="1" thickBot="1" x14ac:dyDescent="0.4">
      <c r="A2" s="324" t="s">
        <v>106</v>
      </c>
      <c r="B2" s="325"/>
      <c r="C2" s="325"/>
      <c r="D2" s="326"/>
      <c r="E2" s="1" t="s">
        <v>60</v>
      </c>
      <c r="H2" s="334" t="s">
        <v>108</v>
      </c>
      <c r="I2" s="335"/>
      <c r="J2" s="335"/>
      <c r="K2" s="336"/>
    </row>
    <row r="3" spans="1:11" x14ac:dyDescent="0.25">
      <c r="A3" s="327" t="s">
        <v>105</v>
      </c>
      <c r="B3" s="135" t="s">
        <v>0</v>
      </c>
      <c r="C3" s="11">
        <v>25700</v>
      </c>
      <c r="D3" s="2" t="s">
        <v>23</v>
      </c>
      <c r="E3" s="1">
        <f>$G$1*C3</f>
        <v>694414</v>
      </c>
      <c r="H3" s="40" t="s">
        <v>64</v>
      </c>
      <c r="I3" s="41" t="s">
        <v>65</v>
      </c>
      <c r="J3" s="41" t="s">
        <v>66</v>
      </c>
      <c r="K3" s="42" t="s">
        <v>67</v>
      </c>
    </row>
    <row r="4" spans="1:11" x14ac:dyDescent="0.25">
      <c r="A4" s="328"/>
      <c r="B4" s="136" t="s">
        <v>1</v>
      </c>
      <c r="C4" s="12">
        <v>0.15</v>
      </c>
      <c r="D4" s="3" t="s">
        <v>24</v>
      </c>
      <c r="E4" s="1">
        <f>$G$1*C4</f>
        <v>4.0529999999999999</v>
      </c>
      <c r="H4" s="30" t="s">
        <v>42</v>
      </c>
      <c r="I4" s="43">
        <f t="shared" ref="I4:I15" si="0">(J4/$J$16)</f>
        <v>0.10059672056648089</v>
      </c>
      <c r="J4" s="16">
        <f>(C3/C11)/(C14*5)</f>
        <v>2.056</v>
      </c>
      <c r="K4" s="31">
        <f>J4*$G$1</f>
        <v>55.55312</v>
      </c>
    </row>
    <row r="5" spans="1:11" ht="16.8" x14ac:dyDescent="0.25">
      <c r="A5" s="328"/>
      <c r="B5" s="136" t="s">
        <v>2</v>
      </c>
      <c r="C5" s="12">
        <v>0.01</v>
      </c>
      <c r="D5" s="3" t="s">
        <v>41</v>
      </c>
      <c r="E5" s="1">
        <f>$G$1*C5</f>
        <v>0.2702</v>
      </c>
      <c r="H5" s="32" t="s">
        <v>44</v>
      </c>
      <c r="I5" s="43">
        <f t="shared" si="0"/>
        <v>5.5044411788565655E-3</v>
      </c>
      <c r="J5" s="16">
        <f>C19*C4*C26</f>
        <v>0.11249999999999999</v>
      </c>
      <c r="K5" s="31">
        <f t="shared" ref="K5:K16" si="1">J5*$G$1</f>
        <v>3.0397499999999997</v>
      </c>
    </row>
    <row r="6" spans="1:11" x14ac:dyDescent="0.25">
      <c r="A6" s="328"/>
      <c r="B6" s="136" t="s">
        <v>3</v>
      </c>
      <c r="C6" s="12">
        <v>4.42</v>
      </c>
      <c r="D6" s="3" t="s">
        <v>25</v>
      </c>
      <c r="H6" s="32" t="s">
        <v>2</v>
      </c>
      <c r="I6" s="43">
        <f t="shared" si="0"/>
        <v>2.2017764715426266E-5</v>
      </c>
      <c r="J6" s="16">
        <f>(C19*60)*C27*(C5/1000)</f>
        <v>4.5000000000000004E-4</v>
      </c>
      <c r="K6" s="31">
        <f t="shared" si="1"/>
        <v>1.2159000000000001E-2</v>
      </c>
    </row>
    <row r="7" spans="1:11" x14ac:dyDescent="0.25">
      <c r="A7" s="328"/>
      <c r="B7" s="136" t="s">
        <v>7</v>
      </c>
      <c r="C7" s="12">
        <v>0.5</v>
      </c>
      <c r="D7" s="3" t="s">
        <v>25</v>
      </c>
      <c r="H7" s="32" t="s">
        <v>45</v>
      </c>
      <c r="I7" s="43">
        <f t="shared" si="0"/>
        <v>6.4879013361456045E-2</v>
      </c>
      <c r="J7" s="16">
        <f>C20*C6</f>
        <v>1.3259999999999998</v>
      </c>
      <c r="K7" s="31">
        <f t="shared" si="1"/>
        <v>35.828519999999997</v>
      </c>
    </row>
    <row r="8" spans="1:11" ht="16.8" x14ac:dyDescent="0.25">
      <c r="A8" s="328"/>
      <c r="B8" s="136" t="s">
        <v>5</v>
      </c>
      <c r="C8" s="12">
        <v>3</v>
      </c>
      <c r="D8" s="3" t="s">
        <v>41</v>
      </c>
      <c r="E8" s="1">
        <f t="shared" ref="E8:E10" si="2">$G$1*C8</f>
        <v>81.06</v>
      </c>
      <c r="H8" s="32" t="s">
        <v>46</v>
      </c>
      <c r="I8" s="43">
        <f t="shared" si="0"/>
        <v>3.2179990627282204E-2</v>
      </c>
      <c r="J8" s="16">
        <f>(C21*C22*C6)/(C14*C16)</f>
        <v>0.65769600000000006</v>
      </c>
      <c r="K8" s="31">
        <f t="shared" si="1"/>
        <v>17.770945920000003</v>
      </c>
    </row>
    <row r="9" spans="1:11" x14ac:dyDescent="0.25">
      <c r="A9" s="328"/>
      <c r="B9" s="136" t="s">
        <v>6</v>
      </c>
      <c r="C9" s="12">
        <v>0.5</v>
      </c>
      <c r="D9" s="3" t="s">
        <v>25</v>
      </c>
      <c r="E9" s="1">
        <f t="shared" si="2"/>
        <v>13.51</v>
      </c>
      <c r="H9" s="32" t="s">
        <v>7</v>
      </c>
      <c r="I9" s="43">
        <f t="shared" si="0"/>
        <v>3.6402704329504751E-3</v>
      </c>
      <c r="J9" s="16">
        <f>(C21*C22*C7)/(C14*5)</f>
        <v>7.4399999999999994E-2</v>
      </c>
      <c r="K9" s="31">
        <f t="shared" si="1"/>
        <v>2.0102879999999996</v>
      </c>
    </row>
    <row r="10" spans="1:11" ht="14.4" thickBot="1" x14ac:dyDescent="0.3">
      <c r="A10" s="328"/>
      <c r="B10" s="136" t="s">
        <v>50</v>
      </c>
      <c r="C10" s="12">
        <v>8</v>
      </c>
      <c r="D10" s="3" t="s">
        <v>26</v>
      </c>
      <c r="E10" s="1">
        <f t="shared" si="2"/>
        <v>216.16</v>
      </c>
      <c r="H10" s="32" t="s">
        <v>4</v>
      </c>
      <c r="I10" s="43">
        <f t="shared" si="0"/>
        <v>2.9357019620568354E-5</v>
      </c>
      <c r="J10" s="16">
        <f>C23*(C8/1000)</f>
        <v>6.0000000000000006E-4</v>
      </c>
      <c r="K10" s="31">
        <f t="shared" si="1"/>
        <v>1.6212000000000001E-2</v>
      </c>
    </row>
    <row r="11" spans="1:11" ht="14.4" customHeight="1" x14ac:dyDescent="0.25">
      <c r="A11" s="329" t="s">
        <v>107</v>
      </c>
      <c r="B11" s="5" t="s">
        <v>127</v>
      </c>
      <c r="C11" s="11">
        <v>10</v>
      </c>
      <c r="D11" s="2" t="s">
        <v>27</v>
      </c>
      <c r="H11" s="32" t="s">
        <v>47</v>
      </c>
      <c r="I11" s="43">
        <f t="shared" si="0"/>
        <v>1.937563294957511E-5</v>
      </c>
      <c r="J11" s="16">
        <f>(C24*C25*(C8/1000))/(C14*C16)</f>
        <v>3.9599999999999998E-4</v>
      </c>
      <c r="K11" s="31">
        <f t="shared" si="1"/>
        <v>1.069992E-2</v>
      </c>
    </row>
    <row r="12" spans="1:11" ht="14.4" customHeight="1" x14ac:dyDescent="0.25">
      <c r="A12" s="330"/>
      <c r="B12" s="6" t="s">
        <v>62</v>
      </c>
      <c r="C12" s="12">
        <v>8</v>
      </c>
      <c r="D12" s="3" t="s">
        <v>28</v>
      </c>
      <c r="H12" s="32" t="s">
        <v>48</v>
      </c>
      <c r="I12" s="43">
        <f t="shared" si="0"/>
        <v>3.2292721582625186E-3</v>
      </c>
      <c r="J12" s="16">
        <f>(C25*C24*C9)/(C14*C16)</f>
        <v>6.6000000000000003E-2</v>
      </c>
      <c r="K12" s="31">
        <f t="shared" si="1"/>
        <v>1.78332</v>
      </c>
    </row>
    <row r="13" spans="1:11" ht="14.4" customHeight="1" x14ac:dyDescent="0.25">
      <c r="A13" s="330"/>
      <c r="B13" s="6" t="s">
        <v>9</v>
      </c>
      <c r="C13" s="12">
        <v>1</v>
      </c>
      <c r="D13" s="3" t="s">
        <v>29</v>
      </c>
      <c r="H13" s="32" t="s">
        <v>51</v>
      </c>
      <c r="I13" s="43">
        <f t="shared" si="0"/>
        <v>0.6262830852387915</v>
      </c>
      <c r="J13" s="16">
        <f>(C10*C12)/('Mini SWASH II - Kalkulace P1'!D13/C14)</f>
        <v>12.8</v>
      </c>
      <c r="K13" s="31">
        <f>J13*$G$1</f>
        <v>345.85599999999999</v>
      </c>
    </row>
    <row r="14" spans="1:11" ht="14.4" customHeight="1" x14ac:dyDescent="0.25">
      <c r="A14" s="330"/>
      <c r="B14" s="6" t="s">
        <v>10</v>
      </c>
      <c r="C14" s="12">
        <v>250</v>
      </c>
      <c r="D14" s="3" t="s">
        <v>30</v>
      </c>
      <c r="H14" s="32" t="s">
        <v>21</v>
      </c>
      <c r="I14" s="43">
        <f t="shared" si="0"/>
        <v>0.13621657103943713</v>
      </c>
      <c r="J14" s="16">
        <f>C28/(C16*C14/12)</f>
        <v>2.7839999999999998</v>
      </c>
      <c r="K14" s="31">
        <f t="shared" si="1"/>
        <v>75.223679999999987</v>
      </c>
    </row>
    <row r="15" spans="1:11" ht="14.4" customHeight="1" thickBot="1" x14ac:dyDescent="0.3">
      <c r="A15" s="330"/>
      <c r="B15" s="6" t="s">
        <v>43</v>
      </c>
      <c r="C15" s="12">
        <v>2</v>
      </c>
      <c r="D15" s="3" t="s">
        <v>31</v>
      </c>
      <c r="H15" s="37" t="s">
        <v>49</v>
      </c>
      <c r="I15" s="44">
        <f t="shared" si="0"/>
        <v>2.7399884979197129E-2</v>
      </c>
      <c r="J15" s="38">
        <f>C29/(C14*C16)</f>
        <v>0.56000000000000005</v>
      </c>
      <c r="K15" s="39">
        <f t="shared" si="1"/>
        <v>15.131200000000002</v>
      </c>
    </row>
    <row r="16" spans="1:11" ht="15" customHeight="1" thickBot="1" x14ac:dyDescent="0.3">
      <c r="A16" s="331"/>
      <c r="B16" s="7" t="s">
        <v>11</v>
      </c>
      <c r="C16" s="13">
        <v>5</v>
      </c>
      <c r="D16" s="4" t="s">
        <v>32</v>
      </c>
      <c r="H16" s="33" t="s">
        <v>52</v>
      </c>
      <c r="I16" s="34">
        <f>SUM(I4:I15)</f>
        <v>1.0000000000000002</v>
      </c>
      <c r="J16" s="35">
        <f>SUM(J4:J15)</f>
        <v>20.438041999999999</v>
      </c>
      <c r="K16" s="36">
        <f t="shared" si="1"/>
        <v>552.23589484000001</v>
      </c>
    </row>
    <row r="17" spans="1:24" ht="14.4" customHeight="1" x14ac:dyDescent="0.25">
      <c r="A17" s="332" t="s">
        <v>104</v>
      </c>
      <c r="B17" s="8" t="s">
        <v>12</v>
      </c>
      <c r="C17" s="11">
        <v>0.6</v>
      </c>
      <c r="D17" s="2" t="s">
        <v>33</v>
      </c>
    </row>
    <row r="18" spans="1:24" x14ac:dyDescent="0.25">
      <c r="A18" s="332"/>
      <c r="B18" s="9" t="s">
        <v>128</v>
      </c>
      <c r="C18" s="12">
        <v>1</v>
      </c>
      <c r="D18" s="3" t="s">
        <v>34</v>
      </c>
    </row>
    <row r="19" spans="1:24" ht="15.6" x14ac:dyDescent="0.3">
      <c r="A19" s="332"/>
      <c r="B19" s="9" t="s">
        <v>13</v>
      </c>
      <c r="C19" s="12">
        <v>0.75</v>
      </c>
      <c r="D19" s="3" t="s">
        <v>28</v>
      </c>
      <c r="T19" s="26"/>
      <c r="X19" s="24"/>
    </row>
    <row r="20" spans="1:24" x14ac:dyDescent="0.25">
      <c r="A20" s="332"/>
      <c r="B20" s="9" t="s">
        <v>14</v>
      </c>
      <c r="C20" s="12">
        <v>0.3</v>
      </c>
      <c r="D20" s="3" t="s">
        <v>35</v>
      </c>
      <c r="X20" s="24"/>
    </row>
    <row r="21" spans="1:24" x14ac:dyDescent="0.25">
      <c r="A21" s="332"/>
      <c r="B21" s="9" t="s">
        <v>15</v>
      </c>
      <c r="C21" s="12">
        <v>62</v>
      </c>
      <c r="D21" s="3" t="s">
        <v>36</v>
      </c>
      <c r="T21" s="27"/>
      <c r="X21" s="24"/>
    </row>
    <row r="22" spans="1:24" x14ac:dyDescent="0.25">
      <c r="A22" s="332"/>
      <c r="B22" s="9" t="s">
        <v>16</v>
      </c>
      <c r="C22" s="12">
        <v>3</v>
      </c>
      <c r="D22" s="3"/>
      <c r="X22" s="24"/>
    </row>
    <row r="23" spans="1:24" x14ac:dyDescent="0.25">
      <c r="A23" s="332"/>
      <c r="B23" s="9" t="s">
        <v>17</v>
      </c>
      <c r="C23" s="12">
        <v>0.2</v>
      </c>
      <c r="D23" s="3" t="s">
        <v>35</v>
      </c>
      <c r="X23" s="24"/>
    </row>
    <row r="24" spans="1:24" x14ac:dyDescent="0.25">
      <c r="A24" s="332"/>
      <c r="B24" s="9" t="s">
        <v>18</v>
      </c>
      <c r="C24" s="12">
        <v>33</v>
      </c>
      <c r="D24" s="3" t="s">
        <v>36</v>
      </c>
      <c r="X24" s="24"/>
    </row>
    <row r="25" spans="1:24" x14ac:dyDescent="0.25">
      <c r="A25" s="332"/>
      <c r="B25" s="9" t="s">
        <v>19</v>
      </c>
      <c r="C25" s="12">
        <v>5</v>
      </c>
      <c r="D25" s="3"/>
      <c r="X25" s="24"/>
    </row>
    <row r="26" spans="1:24" x14ac:dyDescent="0.25">
      <c r="A26" s="332"/>
      <c r="B26" s="9" t="s">
        <v>126</v>
      </c>
      <c r="C26" s="12">
        <v>1</v>
      </c>
      <c r="D26" s="3" t="s">
        <v>37</v>
      </c>
      <c r="X26" s="24"/>
    </row>
    <row r="27" spans="1:24" x14ac:dyDescent="0.25">
      <c r="A27" s="332"/>
      <c r="B27" s="9" t="s">
        <v>20</v>
      </c>
      <c r="C27" s="12">
        <v>1</v>
      </c>
      <c r="D27" s="3" t="s">
        <v>38</v>
      </c>
      <c r="X27" s="24"/>
    </row>
    <row r="28" spans="1:24" x14ac:dyDescent="0.25">
      <c r="A28" s="332"/>
      <c r="B28" s="9" t="s">
        <v>21</v>
      </c>
      <c r="C28" s="12">
        <v>290</v>
      </c>
      <c r="D28" s="3" t="s">
        <v>40</v>
      </c>
      <c r="S28" s="19"/>
      <c r="X28" s="24"/>
    </row>
    <row r="29" spans="1:24" ht="14.4" thickBot="1" x14ac:dyDescent="0.3">
      <c r="A29" s="333"/>
      <c r="B29" s="10" t="s">
        <v>22</v>
      </c>
      <c r="C29" s="13">
        <v>700</v>
      </c>
      <c r="D29" s="4" t="s">
        <v>39</v>
      </c>
      <c r="E29" s="1">
        <f>C29*G1</f>
        <v>18914</v>
      </c>
      <c r="S29" s="29"/>
      <c r="X29" s="24"/>
    </row>
    <row r="30" spans="1:24" x14ac:dyDescent="0.25">
      <c r="X30" s="24"/>
    </row>
    <row r="31" spans="1:24" x14ac:dyDescent="0.25">
      <c r="X31" s="24"/>
    </row>
    <row r="32" spans="1:24" x14ac:dyDescent="0.25">
      <c r="X32" s="24"/>
    </row>
    <row r="33" spans="6:24" x14ac:dyDescent="0.25">
      <c r="X33" s="24"/>
    </row>
    <row r="34" spans="6:24" x14ac:dyDescent="0.25">
      <c r="X34" s="24"/>
    </row>
    <row r="35" spans="6:24" x14ac:dyDescent="0.25">
      <c r="X35" s="24"/>
    </row>
    <row r="36" spans="6:24" x14ac:dyDescent="0.25">
      <c r="I36" s="84"/>
      <c r="J36" s="17"/>
      <c r="K36" s="17"/>
      <c r="L36" s="17"/>
      <c r="M36" s="17"/>
      <c r="N36" s="17"/>
      <c r="X36" s="24"/>
    </row>
    <row r="37" spans="6:24" x14ac:dyDescent="0.25">
      <c r="F37" s="14"/>
      <c r="I37" s="15"/>
      <c r="O37" s="18"/>
      <c r="X37" s="24"/>
    </row>
    <row r="38" spans="6:24" x14ac:dyDescent="0.25">
      <c r="S38" s="19"/>
      <c r="X38" s="24"/>
    </row>
    <row r="39" spans="6:24" x14ac:dyDescent="0.25">
      <c r="S39" s="20"/>
      <c r="X39" s="24"/>
    </row>
    <row r="40" spans="6:24" x14ac:dyDescent="0.25">
      <c r="S40" s="19"/>
    </row>
    <row r="41" spans="6:24" x14ac:dyDescent="0.25">
      <c r="H41" s="21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3"/>
    </row>
    <row r="42" spans="6:24" x14ac:dyDescent="0.25">
      <c r="S42" s="19"/>
    </row>
    <row r="43" spans="6:24" x14ac:dyDescent="0.25">
      <c r="S43" s="19"/>
    </row>
    <row r="44" spans="6:24" x14ac:dyDescent="0.25">
      <c r="S44" s="19"/>
    </row>
    <row r="45" spans="6:24" x14ac:dyDescent="0.25"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5"/>
    </row>
    <row r="46" spans="6:24" x14ac:dyDescent="0.25"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5"/>
    </row>
    <row r="47" spans="6:24" x14ac:dyDescent="0.25"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5"/>
    </row>
    <row r="48" spans="6:24" x14ac:dyDescent="0.25"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5"/>
    </row>
    <row r="49" spans="8:19" x14ac:dyDescent="0.25"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5"/>
    </row>
    <row r="50" spans="8:19" x14ac:dyDescent="0.25"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5"/>
    </row>
    <row r="51" spans="8:19" x14ac:dyDescent="0.25">
      <c r="H51" s="85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7"/>
    </row>
    <row r="52" spans="8:19" x14ac:dyDescent="0.25"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8:19" x14ac:dyDescent="0.25"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3"/>
    </row>
    <row r="54" spans="8:19" ht="15.6" x14ac:dyDescent="0.3"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8"/>
    </row>
  </sheetData>
  <mergeCells count="5">
    <mergeCell ref="A2:D2"/>
    <mergeCell ref="A3:A10"/>
    <mergeCell ref="A11:A16"/>
    <mergeCell ref="A17:A29"/>
    <mergeCell ref="H2:K2"/>
  </mergeCells>
  <pageMargins left="0.7" right="0.7" top="0.78740157499999996" bottom="0.78740157499999996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1:AE113"/>
  <sheetViews>
    <sheetView topLeftCell="D65" zoomScaleNormal="100" workbookViewId="0">
      <selection activeCell="V18" sqref="V18"/>
    </sheetView>
  </sheetViews>
  <sheetFormatPr defaultRowHeight="13.8" x14ac:dyDescent="0.25"/>
  <cols>
    <col min="1" max="1" width="8.88671875" style="1"/>
    <col min="2" max="2" width="33.21875" style="1" customWidth="1"/>
    <col min="3" max="3" width="13.109375" style="1" bestFit="1" customWidth="1"/>
    <col min="4" max="4" width="14.44140625" style="1" bestFit="1" customWidth="1"/>
    <col min="5" max="5" width="12.33203125" style="1" customWidth="1"/>
    <col min="6" max="11" width="12" style="1" customWidth="1"/>
    <col min="12" max="12" width="13.33203125" style="1" customWidth="1"/>
    <col min="13" max="13" width="12" style="1" customWidth="1"/>
    <col min="14" max="14" width="13.109375" style="1" bestFit="1" customWidth="1"/>
    <col min="15" max="15" width="8.88671875" style="1"/>
    <col min="16" max="17" width="10.44140625" style="1" bestFit="1" customWidth="1"/>
    <col min="18" max="18" width="12.6640625" style="1" bestFit="1" customWidth="1"/>
    <col min="19" max="19" width="12" style="1" bestFit="1" customWidth="1"/>
    <col min="20" max="20" width="12" style="1" customWidth="1"/>
    <col min="21" max="21" width="16.77734375" style="1" bestFit="1" customWidth="1"/>
    <col min="22" max="26" width="18.44140625" style="1" bestFit="1" customWidth="1"/>
    <col min="27" max="28" width="18.109375" style="1" bestFit="1" customWidth="1"/>
    <col min="29" max="30" width="18.44140625" style="1" bestFit="1" customWidth="1"/>
    <col min="31" max="31" width="29.21875" style="1" bestFit="1" customWidth="1"/>
    <col min="32" max="16384" width="8.88671875" style="1"/>
  </cols>
  <sheetData>
    <row r="1" spans="2:31" ht="15" customHeight="1" thickBot="1" x14ac:dyDescent="0.3">
      <c r="B1" s="55" t="s">
        <v>58</v>
      </c>
      <c r="C1" s="56">
        <v>2.1999999999999999E-2</v>
      </c>
      <c r="E1" s="337" t="s">
        <v>57</v>
      </c>
      <c r="F1" s="338"/>
      <c r="G1" s="45">
        <v>0.03</v>
      </c>
      <c r="I1" s="337" t="s">
        <v>73</v>
      </c>
      <c r="J1" s="338"/>
      <c r="K1" s="338"/>
      <c r="L1" s="338"/>
      <c r="M1" s="57">
        <v>0.18</v>
      </c>
    </row>
    <row r="2" spans="2:31" ht="14.4" thickBot="1" x14ac:dyDescent="0.3"/>
    <row r="3" spans="2:31" ht="21.6" customHeight="1" thickBot="1" x14ac:dyDescent="0.35">
      <c r="B3" s="342" t="s">
        <v>54</v>
      </c>
      <c r="C3" s="96">
        <v>2015</v>
      </c>
      <c r="D3" s="97">
        <v>2016</v>
      </c>
      <c r="E3" s="97">
        <v>2017</v>
      </c>
      <c r="F3" s="97">
        <v>2018</v>
      </c>
      <c r="G3" s="97">
        <v>2019</v>
      </c>
      <c r="H3" s="97">
        <v>2020</v>
      </c>
      <c r="I3" s="97">
        <v>2021</v>
      </c>
      <c r="J3" s="97">
        <v>2022</v>
      </c>
      <c r="K3" s="97">
        <v>2023</v>
      </c>
      <c r="L3" s="97">
        <v>2024</v>
      </c>
      <c r="M3" s="98">
        <v>2025</v>
      </c>
    </row>
    <row r="4" spans="2:31" ht="12.6" customHeight="1" thickBot="1" x14ac:dyDescent="0.3">
      <c r="B4" s="343"/>
      <c r="C4" s="123">
        <v>0</v>
      </c>
      <c r="D4" s="124">
        <v>1</v>
      </c>
      <c r="E4" s="124">
        <v>2</v>
      </c>
      <c r="F4" s="124">
        <v>3</v>
      </c>
      <c r="G4" s="124">
        <v>4</v>
      </c>
      <c r="H4" s="124">
        <v>5</v>
      </c>
      <c r="I4" s="124">
        <v>6</v>
      </c>
      <c r="J4" s="124">
        <v>7</v>
      </c>
      <c r="K4" s="124">
        <v>8</v>
      </c>
      <c r="L4" s="124">
        <v>9</v>
      </c>
      <c r="M4" s="125">
        <v>10</v>
      </c>
    </row>
    <row r="5" spans="2:31" ht="19.8" customHeight="1" thickBot="1" x14ac:dyDescent="0.3">
      <c r="B5" s="51" t="s">
        <v>74</v>
      </c>
      <c r="C5" s="77" t="s">
        <v>79</v>
      </c>
      <c r="D5" s="52">
        <f>'Mini SWASH II - Náklady'!G1</f>
        <v>27.02</v>
      </c>
      <c r="E5" s="52">
        <f>D5</f>
        <v>27.02</v>
      </c>
      <c r="F5" s="52">
        <v>26</v>
      </c>
      <c r="G5" s="52">
        <v>26</v>
      </c>
      <c r="H5" s="52">
        <v>26.5</v>
      </c>
      <c r="I5" s="52">
        <v>26.5</v>
      </c>
      <c r="J5" s="52">
        <v>26.5</v>
      </c>
      <c r="K5" s="52">
        <v>26.5</v>
      </c>
      <c r="L5" s="52">
        <v>26</v>
      </c>
      <c r="M5" s="53">
        <v>26</v>
      </c>
    </row>
    <row r="6" spans="2:31" ht="25.8" customHeight="1" x14ac:dyDescent="0.25">
      <c r="B6" s="339" t="s">
        <v>75</v>
      </c>
      <c r="C6" s="340"/>
      <c r="D6" s="340"/>
      <c r="E6" s="340"/>
      <c r="F6" s="340"/>
      <c r="G6" s="340"/>
      <c r="H6" s="340"/>
      <c r="I6" s="340"/>
      <c r="J6" s="340"/>
      <c r="K6" s="340"/>
      <c r="L6" s="340"/>
      <c r="M6" s="341"/>
    </row>
    <row r="7" spans="2:31" x14ac:dyDescent="0.25">
      <c r="B7" s="48" t="s">
        <v>68</v>
      </c>
      <c r="C7" s="73" t="s">
        <v>79</v>
      </c>
      <c r="D7" s="46">
        <f>'Mini SWASH II - Náklady'!K13</f>
        <v>345.85599999999999</v>
      </c>
      <c r="E7" s="46">
        <f>D7+D7*'Mini SWASH II - Kalkulace P1'!$G$1</f>
        <v>356.23167999999998</v>
      </c>
      <c r="F7" s="46">
        <f>E7+E7*'Mini SWASH II - Kalkulace P1'!$G$1</f>
        <v>366.91863039999998</v>
      </c>
      <c r="G7" s="46">
        <f>F7+F7*'Mini SWASH II - Kalkulace P1'!$G$1</f>
        <v>377.92618931199996</v>
      </c>
      <c r="H7" s="46">
        <f>G7+G7*'Mini SWASH II - Kalkulace P1'!$G$1</f>
        <v>389.26397499135999</v>
      </c>
      <c r="I7" s="46">
        <f>H7+H7*'Mini SWASH II - Kalkulace P1'!$G$1</f>
        <v>400.94189424110078</v>
      </c>
      <c r="J7" s="46">
        <f>I7+I7*'Mini SWASH II - Kalkulace P1'!$G$1</f>
        <v>412.97015106833379</v>
      </c>
      <c r="K7" s="46">
        <f>J7+J7*'Mini SWASH II - Kalkulace P1'!$G$1</f>
        <v>425.35925560038379</v>
      </c>
      <c r="L7" s="46">
        <f>K7+K7*'Mini SWASH II - Kalkulace P1'!$G$1</f>
        <v>438.12003326839533</v>
      </c>
      <c r="M7" s="49">
        <f>L7+L7*'Mini SWASH II - Kalkulace P1'!$G$1</f>
        <v>451.26363426644718</v>
      </c>
    </row>
    <row r="8" spans="2:31" x14ac:dyDescent="0.25">
      <c r="B8" s="32" t="s">
        <v>69</v>
      </c>
      <c r="C8" s="74" t="s">
        <v>79</v>
      </c>
      <c r="D8" s="47">
        <f>'Mini SWASH II - Náklady'!J7+'Mini SWASH II - Náklady'!J8</f>
        <v>1.9836959999999999</v>
      </c>
      <c r="E8" s="47">
        <f>D8+(D8*'Mini SWASH II - Kalkulace P1'!$C$1)</f>
        <v>2.0273373119999998</v>
      </c>
      <c r="F8" s="47">
        <f>E8+(E8*'Mini SWASH II - Kalkulace P1'!$C$1)</f>
        <v>2.071938732864</v>
      </c>
      <c r="G8" s="47">
        <f>F8+(F8*'Mini SWASH II - Kalkulace P1'!$C$1)</f>
        <v>2.117521384987008</v>
      </c>
      <c r="H8" s="47">
        <f>G8+(G8*'Mini SWASH II - Kalkulace P1'!$C$1)</f>
        <v>2.1641068554567222</v>
      </c>
      <c r="I8" s="47">
        <f>H8+(H8*'Mini SWASH II - Kalkulace P1'!$C$1)</f>
        <v>2.21171720627677</v>
      </c>
      <c r="J8" s="47">
        <f>I8+(I8*'Mini SWASH II - Kalkulace P1'!$C$1)</f>
        <v>2.2603749848148591</v>
      </c>
      <c r="K8" s="47">
        <f>J8+(J8*'Mini SWASH II - Kalkulace P1'!$C$1)</f>
        <v>2.3101032344807861</v>
      </c>
      <c r="L8" s="47">
        <f>K8+(K8*'Mini SWASH II - Kalkulace P1'!$C$1)</f>
        <v>2.3609255056393632</v>
      </c>
      <c r="M8" s="50">
        <f>L8+(L8*'Mini SWASH II - Kalkulace P1'!$C$1)</f>
        <v>2.4128658667634291</v>
      </c>
      <c r="P8" s="1">
        <v>557</v>
      </c>
      <c r="Q8" s="72">
        <v>0</v>
      </c>
    </row>
    <row r="9" spans="2:31" x14ac:dyDescent="0.25">
      <c r="B9" s="32" t="s">
        <v>70</v>
      </c>
      <c r="C9" s="74" t="s">
        <v>79</v>
      </c>
      <c r="D9" s="47">
        <f>'Mini SWASH II - Náklady'!J14</f>
        <v>2.7839999999999998</v>
      </c>
      <c r="E9" s="47">
        <f>D9+(D9*'Mini SWASH II - Kalkulace P1'!$C$1)</f>
        <v>2.8452479999999998</v>
      </c>
      <c r="F9" s="47">
        <f>E9+(E9*'Mini SWASH II - Kalkulace P1'!$C$1)</f>
        <v>2.9078434559999997</v>
      </c>
      <c r="G9" s="47">
        <f>F9+(F9*'Mini SWASH II - Kalkulace P1'!$C$1)</f>
        <v>2.9718160120319999</v>
      </c>
      <c r="H9" s="47">
        <f>G9+(G9*'Mini SWASH II - Kalkulace P1'!$C$1)</f>
        <v>3.0371959642967039</v>
      </c>
      <c r="I9" s="47">
        <f>H9+(H9*'Mini SWASH II - Kalkulace P1'!$C$1)</f>
        <v>3.1040142755112314</v>
      </c>
      <c r="J9" s="47">
        <f>I9+(I9*'Mini SWASH II - Kalkulace P1'!$C$1)</f>
        <v>3.1723025895724786</v>
      </c>
      <c r="K9" s="47">
        <f>J9+(J9*'Mini SWASH II - Kalkulace P1'!$C$1)</f>
        <v>3.2420932465430732</v>
      </c>
      <c r="L9" s="47">
        <f>K9+(K9*'Mini SWASH II - Kalkulace P1'!$C$1)</f>
        <v>3.3134192979670209</v>
      </c>
      <c r="M9" s="50">
        <f>L9+(L9*'Mini SWASH II - Kalkulace P1'!$C$1)</f>
        <v>3.3863145225222953</v>
      </c>
      <c r="P9" s="1">
        <v>609</v>
      </c>
      <c r="Q9" s="72">
        <v>684.70437609571104</v>
      </c>
    </row>
    <row r="10" spans="2:31" ht="14.4" thickBot="1" x14ac:dyDescent="0.3">
      <c r="B10" s="37" t="s">
        <v>76</v>
      </c>
      <c r="C10" s="75" t="s">
        <v>79</v>
      </c>
      <c r="D10" s="64">
        <f>'Mini SWASH II - Náklady'!E29</f>
        <v>18914</v>
      </c>
      <c r="E10" s="64">
        <f>D10+D10*$C$1</f>
        <v>19330.108</v>
      </c>
      <c r="F10" s="64">
        <f t="shared" ref="F10:M10" si="0">E10+E10*$C$1</f>
        <v>19755.370375999999</v>
      </c>
      <c r="G10" s="64">
        <f t="shared" si="0"/>
        <v>20189.988524271997</v>
      </c>
      <c r="H10" s="64">
        <f t="shared" si="0"/>
        <v>20634.168271805982</v>
      </c>
      <c r="I10" s="64">
        <f t="shared" si="0"/>
        <v>21088.119973785713</v>
      </c>
      <c r="J10" s="64">
        <f t="shared" si="0"/>
        <v>21552.058613208999</v>
      </c>
      <c r="K10" s="64">
        <f t="shared" si="0"/>
        <v>22026.203902699599</v>
      </c>
      <c r="L10" s="64">
        <f t="shared" si="0"/>
        <v>22510.780388558989</v>
      </c>
      <c r="M10" s="65">
        <f t="shared" si="0"/>
        <v>23006.017557107287</v>
      </c>
    </row>
    <row r="11" spans="2:31" ht="14.4" thickBot="1" x14ac:dyDescent="0.3">
      <c r="AB11" s="18"/>
    </row>
    <row r="12" spans="2:31" ht="14.4" thickBot="1" x14ac:dyDescent="0.3">
      <c r="B12" s="99" t="s">
        <v>71</v>
      </c>
      <c r="C12" s="100" t="s">
        <v>79</v>
      </c>
      <c r="D12" s="101">
        <v>609.42244243617199</v>
      </c>
      <c r="E12" s="101">
        <v>609.20000000000005</v>
      </c>
      <c r="F12" s="101">
        <v>609.20000000000005</v>
      </c>
      <c r="G12" s="101">
        <v>609.20000000000005</v>
      </c>
      <c r="H12" s="101">
        <v>609.20000000000005</v>
      </c>
      <c r="I12" s="101">
        <v>609.20000000000005</v>
      </c>
      <c r="J12" s="101">
        <v>609.20000000000005</v>
      </c>
      <c r="K12" s="101">
        <v>609.20000000000005</v>
      </c>
      <c r="L12" s="101">
        <v>609.20000000000005</v>
      </c>
      <c r="M12" s="102">
        <v>609.20000000000005</v>
      </c>
      <c r="P12" s="72"/>
      <c r="R12" s="139" t="s">
        <v>109</v>
      </c>
      <c r="S12" s="140" t="s">
        <v>110</v>
      </c>
      <c r="T12" s="141"/>
      <c r="U12" s="344" t="s">
        <v>112</v>
      </c>
      <c r="V12" s="344"/>
      <c r="W12" s="344"/>
      <c r="X12" s="344"/>
      <c r="Y12" s="344"/>
      <c r="Z12" s="344"/>
      <c r="AA12" s="344"/>
      <c r="AB12" s="344"/>
      <c r="AC12" s="344"/>
      <c r="AD12" s="344"/>
      <c r="AE12" s="142" t="s">
        <v>114</v>
      </c>
    </row>
    <row r="13" spans="2:31" ht="14.4" thickBot="1" x14ac:dyDescent="0.3">
      <c r="B13" s="37" t="s">
        <v>53</v>
      </c>
      <c r="C13" s="75" t="s">
        <v>79</v>
      </c>
      <c r="D13" s="60">
        <v>1250</v>
      </c>
      <c r="E13" s="61">
        <f>D13+D13*$M$1</f>
        <v>1475</v>
      </c>
      <c r="F13" s="61">
        <f t="shared" ref="F13:H13" si="1">E13+E13*$M$1</f>
        <v>1740.5</v>
      </c>
      <c r="G13" s="61">
        <f t="shared" si="1"/>
        <v>2053.79</v>
      </c>
      <c r="H13" s="61">
        <f t="shared" si="1"/>
        <v>2423.4722000000002</v>
      </c>
      <c r="I13" s="61">
        <f>H13+H13*$M$1</f>
        <v>2859.6971960000001</v>
      </c>
      <c r="J13" s="61">
        <f>I13</f>
        <v>2859.6971960000001</v>
      </c>
      <c r="K13" s="61">
        <f t="shared" ref="K13:M13" si="2">J13</f>
        <v>2859.6971960000001</v>
      </c>
      <c r="L13" s="61">
        <f t="shared" si="2"/>
        <v>2859.6971960000001</v>
      </c>
      <c r="M13" s="62">
        <f t="shared" si="2"/>
        <v>2859.6971960000001</v>
      </c>
      <c r="R13" s="143">
        <v>0.18</v>
      </c>
      <c r="S13" s="161">
        <v>609.20000000000005</v>
      </c>
      <c r="T13" s="154" t="s">
        <v>115</v>
      </c>
      <c r="U13" s="137">
        <v>1250</v>
      </c>
      <c r="V13" s="137">
        <v>1475</v>
      </c>
      <c r="W13" s="137">
        <v>1740.5</v>
      </c>
      <c r="X13" s="137">
        <v>2053.79</v>
      </c>
      <c r="Y13" s="137">
        <v>2423.4722000000002</v>
      </c>
      <c r="Z13" s="137">
        <v>2859.6971960000001</v>
      </c>
      <c r="AA13" s="137">
        <v>2859.6971960000001</v>
      </c>
      <c r="AB13" s="137">
        <v>2859.6971960000001</v>
      </c>
      <c r="AC13" s="137">
        <v>2859.6971960000001</v>
      </c>
      <c r="AD13" s="137">
        <v>2859.6971960000001</v>
      </c>
      <c r="AE13" s="147"/>
    </row>
    <row r="14" spans="2:31" ht="14.4" thickBot="1" x14ac:dyDescent="0.3">
      <c r="C14" s="76"/>
      <c r="P14" s="17"/>
      <c r="Q14" s="17"/>
      <c r="R14" s="144"/>
      <c r="S14" s="155"/>
      <c r="T14" s="148" t="s">
        <v>111</v>
      </c>
      <c r="U14" s="168">
        <f t="shared" ref="U14:AD14" si="3">$S$13*U13</f>
        <v>761500</v>
      </c>
      <c r="V14" s="168">
        <f t="shared" si="3"/>
        <v>898570.00000000012</v>
      </c>
      <c r="W14" s="168">
        <f t="shared" si="3"/>
        <v>1060312.6000000001</v>
      </c>
      <c r="X14" s="168">
        <f t="shared" si="3"/>
        <v>1251168.868</v>
      </c>
      <c r="Y14" s="168">
        <f t="shared" si="3"/>
        <v>1476379.2642400002</v>
      </c>
      <c r="Z14" s="168">
        <f t="shared" si="3"/>
        <v>1742127.5318032003</v>
      </c>
      <c r="AA14" s="168">
        <f t="shared" si="3"/>
        <v>1742127.5318032003</v>
      </c>
      <c r="AB14" s="168">
        <f t="shared" si="3"/>
        <v>1742127.5318032003</v>
      </c>
      <c r="AC14" s="168">
        <f t="shared" si="3"/>
        <v>1742127.5318032003</v>
      </c>
      <c r="AD14" s="168">
        <f t="shared" si="3"/>
        <v>1742127.5318032003</v>
      </c>
      <c r="AE14" s="155"/>
    </row>
    <row r="15" spans="2:31" ht="14.4" thickBot="1" x14ac:dyDescent="0.3">
      <c r="B15" s="88" t="s">
        <v>72</v>
      </c>
      <c r="C15" s="89" t="s">
        <v>79</v>
      </c>
      <c r="D15" s="90">
        <f>D13*$D$12</f>
        <v>761778.05304521497</v>
      </c>
      <c r="E15" s="90">
        <f t="shared" ref="E15:M15" si="4">E13*$D$12</f>
        <v>898898.10259335372</v>
      </c>
      <c r="F15" s="90">
        <f t="shared" si="4"/>
        <v>1060699.7610601573</v>
      </c>
      <c r="G15" s="90">
        <f t="shared" si="4"/>
        <v>1251625.7180509856</v>
      </c>
      <c r="H15" s="90">
        <f t="shared" si="4"/>
        <v>1476918.3473001632</v>
      </c>
      <c r="I15" s="90">
        <f t="shared" si="4"/>
        <v>1742763.6498141924</v>
      </c>
      <c r="J15" s="90">
        <f t="shared" si="4"/>
        <v>1742763.6498141924</v>
      </c>
      <c r="K15" s="90">
        <f t="shared" si="4"/>
        <v>1742763.6498141924</v>
      </c>
      <c r="L15" s="90">
        <f t="shared" si="4"/>
        <v>1742763.6498141924</v>
      </c>
      <c r="M15" s="91">
        <f t="shared" si="4"/>
        <v>1742763.6498141924</v>
      </c>
      <c r="N15" s="54"/>
      <c r="R15" s="145"/>
      <c r="S15" s="162"/>
      <c r="T15" s="149" t="s">
        <v>113</v>
      </c>
      <c r="U15" s="169">
        <f>D26</f>
        <v>949426.09204520006</v>
      </c>
      <c r="V15" s="169">
        <f t="shared" ref="V15:AD15" si="5">E26</f>
        <v>1008737.85513844</v>
      </c>
      <c r="W15" s="169">
        <f>F26</f>
        <v>1063538.4385663192</v>
      </c>
      <c r="X15" s="169">
        <f t="shared" si="5"/>
        <v>1134567.2133002284</v>
      </c>
      <c r="Y15" s="169">
        <f t="shared" si="5"/>
        <v>1222505.3601572423</v>
      </c>
      <c r="Z15" s="169">
        <f t="shared" si="5"/>
        <v>1318102.2762405435</v>
      </c>
      <c r="AA15" s="169">
        <f t="shared" si="5"/>
        <v>1351568.6434364</v>
      </c>
      <c r="AB15" s="169">
        <f t="shared" si="5"/>
        <v>1385963.7228198012</v>
      </c>
      <c r="AC15" s="169">
        <f t="shared" si="5"/>
        <v>1413200.2656601453</v>
      </c>
      <c r="AD15" s="169">
        <f t="shared" si="5"/>
        <v>1449353.6388476698</v>
      </c>
      <c r="AE15" s="156">
        <f>SUM(U14:AD14)-SUM(U15:AD15)</f>
        <v>1861604.8850440104</v>
      </c>
    </row>
    <row r="16" spans="2:31" ht="14.4" thickBot="1" x14ac:dyDescent="0.3">
      <c r="C16" s="76"/>
      <c r="R16" s="144">
        <v>0.15</v>
      </c>
      <c r="S16" s="157">
        <v>648.11240578818422</v>
      </c>
      <c r="T16" s="150" t="s">
        <v>115</v>
      </c>
      <c r="U16" s="170">
        <v>1250</v>
      </c>
      <c r="V16" s="170">
        <f>U16+U16*$R$16</f>
        <v>1437.5</v>
      </c>
      <c r="W16" s="170">
        <f>V16+V16*$R$16</f>
        <v>1653.125</v>
      </c>
      <c r="X16" s="170">
        <f>W16+W16*$R$16</f>
        <v>1901.09375</v>
      </c>
      <c r="Y16" s="170">
        <f>X16+X16*$R$16</f>
        <v>2186.2578125</v>
      </c>
      <c r="Z16" s="170">
        <f>Y16+Y16*$R$16</f>
        <v>2514.1964843750002</v>
      </c>
      <c r="AA16" s="170">
        <f>Z16</f>
        <v>2514.1964843750002</v>
      </c>
      <c r="AB16" s="170">
        <f t="shared" ref="AB16:AD16" si="6">AA16</f>
        <v>2514.1964843750002</v>
      </c>
      <c r="AC16" s="170">
        <f t="shared" si="6"/>
        <v>2514.1964843750002</v>
      </c>
      <c r="AD16" s="170">
        <f t="shared" si="6"/>
        <v>2514.1964843750002</v>
      </c>
      <c r="AE16" s="157"/>
    </row>
    <row r="17" spans="2:31" x14ac:dyDescent="0.25">
      <c r="B17" s="66" t="s">
        <v>55</v>
      </c>
      <c r="C17" s="78" t="s">
        <v>79</v>
      </c>
      <c r="D17" s="58">
        <f>('Mini SWASH II - Náklady'!$K$5+'Mini SWASH II - Náklady'!$K$6+'Mini SWASH II - Náklady'!$K$10+'Mini SWASH II - Náklady'!$K$11)*D13</f>
        <v>3848.5261499999997</v>
      </c>
      <c r="E17" s="58">
        <f>('Mini SWASH II - Náklady'!$K$5+'Mini SWASH II - Náklady'!$K$6+'Mini SWASH II - Náklady'!$K$10+'Mini SWASH II - Náklady'!$K$11)*E13</f>
        <v>4541.2608569999993</v>
      </c>
      <c r="F17" s="58">
        <f>('Mini SWASH II - Náklady'!$K$5+'Mini SWASH II - Náklady'!$K$6+'Mini SWASH II - Náklady'!$K$10+'Mini SWASH II - Náklady'!$K$11)*F13</f>
        <v>5358.6878112599998</v>
      </c>
      <c r="G17" s="58">
        <f>('Mini SWASH II - Náklady'!$K$5+'Mini SWASH II - Náklady'!$K$6+'Mini SWASH II - Náklady'!$K$10+'Mini SWASH II - Náklady'!$K$11)*G13</f>
        <v>6323.251617286799</v>
      </c>
      <c r="H17" s="58">
        <f>('Mini SWASH II - Náklady'!$K$5+'Mini SWASH II - Náklady'!$K$6+'Mini SWASH II - Náklady'!$K$10+'Mini SWASH II - Náklady'!$K$11)*H13</f>
        <v>7461.4369083984238</v>
      </c>
      <c r="I17" s="58">
        <f>('Mini SWASH II - Náklady'!$K$5+'Mini SWASH II - Náklady'!$K$6+'Mini SWASH II - Náklady'!$K$10+'Mini SWASH II - Náklady'!$K$11)*I13</f>
        <v>8804.4955519101386</v>
      </c>
      <c r="J17" s="58">
        <f>('Mini SWASH II - Náklady'!$K$5+'Mini SWASH II - Náklady'!$K$6+'Mini SWASH II - Náklady'!$K$10+'Mini SWASH II - Náklady'!$K$11)*J13</f>
        <v>8804.4955519101386</v>
      </c>
      <c r="K17" s="58">
        <f>('Mini SWASH II - Náklady'!$K$5+'Mini SWASH II - Náklady'!$K$6+'Mini SWASH II - Náklady'!$K$10+'Mini SWASH II - Náklady'!$K$11)*K13</f>
        <v>8804.4955519101386</v>
      </c>
      <c r="L17" s="58">
        <f>('Mini SWASH II - Náklady'!$K$5+'Mini SWASH II - Náklady'!$K$6+'Mini SWASH II - Náklady'!$K$10+'Mini SWASH II - Náklady'!$K$11)*L13</f>
        <v>8804.4955519101386</v>
      </c>
      <c r="M17" s="59">
        <f>('Mini SWASH II - Náklady'!$K$5+'Mini SWASH II - Náklady'!$K$6+'Mini SWASH II - Náklady'!$K$10+'Mini SWASH II - Náklady'!$K$11)*M13</f>
        <v>8804.4955519101386</v>
      </c>
      <c r="R17" s="144"/>
      <c r="S17" s="163"/>
      <c r="T17" s="148" t="s">
        <v>111</v>
      </c>
      <c r="U17" s="171">
        <f t="shared" ref="U17:AD17" si="7">U16*$S$16</f>
        <v>810140.5072352303</v>
      </c>
      <c r="V17" s="171">
        <f t="shared" si="7"/>
        <v>931661.58332051476</v>
      </c>
      <c r="W17" s="171">
        <f t="shared" si="7"/>
        <v>1071410.8208185921</v>
      </c>
      <c r="X17" s="171">
        <f t="shared" si="7"/>
        <v>1232122.4439413808</v>
      </c>
      <c r="Y17" s="171">
        <f t="shared" si="7"/>
        <v>1416940.810532588</v>
      </c>
      <c r="Z17" s="171">
        <f t="shared" si="7"/>
        <v>1629481.9321124763</v>
      </c>
      <c r="AA17" s="171">
        <f t="shared" si="7"/>
        <v>1629481.9321124763</v>
      </c>
      <c r="AB17" s="171">
        <f t="shared" si="7"/>
        <v>1629481.9321124763</v>
      </c>
      <c r="AC17" s="171">
        <f t="shared" si="7"/>
        <v>1629481.9321124763</v>
      </c>
      <c r="AD17" s="171">
        <f t="shared" si="7"/>
        <v>1629481.9321124763</v>
      </c>
      <c r="AE17" s="158"/>
    </row>
    <row r="18" spans="2:31" x14ac:dyDescent="0.25">
      <c r="B18" s="32" t="s">
        <v>63</v>
      </c>
      <c r="C18" s="74" t="s">
        <v>79</v>
      </c>
      <c r="D18" s="67">
        <f>D7*'Mini SWASH II - Náklady'!$C$12*'Mini SWASH II - Náklady'!$C$14</f>
        <v>691712</v>
      </c>
      <c r="E18" s="67">
        <f>E7*'Mini SWASH II - Náklady'!$C$12*'Mini SWASH II - Náklady'!$C$14</f>
        <v>712463.35999999999</v>
      </c>
      <c r="F18" s="67">
        <f>F7*'Mini SWASH II - Náklady'!$C$12*'Mini SWASH II - Náklady'!$C$14</f>
        <v>733837.26079999993</v>
      </c>
      <c r="G18" s="67">
        <f>G7*'Mini SWASH II - Náklady'!$C$12*'Mini SWASH II - Náklady'!$C$14</f>
        <v>755852.37862399989</v>
      </c>
      <c r="H18" s="67">
        <f>H7*'Mini SWASH II - Náklady'!$C$12*'Mini SWASH II - Náklady'!$C$14</f>
        <v>778527.94998271996</v>
      </c>
      <c r="I18" s="67">
        <f>I7*'Mini SWASH II - Náklady'!$C$12*'Mini SWASH II - Náklady'!$C$14</f>
        <v>801883.78848220152</v>
      </c>
      <c r="J18" s="67">
        <f>J7*'Mini SWASH II - Náklady'!$C$12*'Mini SWASH II - Náklady'!$C$14</f>
        <v>825940.30213666754</v>
      </c>
      <c r="K18" s="67">
        <f>K7*'Mini SWASH II - Náklady'!$C$12*'Mini SWASH II - Náklady'!$C$14</f>
        <v>850718.51120076759</v>
      </c>
      <c r="L18" s="67">
        <f>L7*'Mini SWASH II - Náklady'!$C$12*'Mini SWASH II - Náklady'!$C$14</f>
        <v>876240.06653679069</v>
      </c>
      <c r="M18" s="68">
        <f>M7*'Mini SWASH II - Náklady'!$C$12*'Mini SWASH II - Náklady'!$C$14</f>
        <v>902527.26853289432</v>
      </c>
      <c r="R18" s="151"/>
      <c r="S18" s="164"/>
      <c r="T18" s="149" t="s">
        <v>113</v>
      </c>
      <c r="U18" s="172">
        <f>U15</f>
        <v>949426.09204520006</v>
      </c>
      <c r="V18" s="172">
        <f>V16*((E8+E9)*E5+'Mini SWASH II - Náklady'!$K$9+'Mini SWASH II - Náklady'!$K$12+'Mini SWASH II - Náklady'!$K$5+'Mini SWASH II - Náklady'!$K$6+'Mini SWASH II - Náklady'!$K$10+'Mini SWASH II - Náklady'!$K$11)+(8*'Mini SWASH II - Kalkulace P1'!E7)*'Mini SWASH II - Náklady'!$C$14+E24+E10+E10*$R$16</f>
        <v>1003270.80502222</v>
      </c>
      <c r="W18" s="172">
        <f>W16*((F8+F9)*F5+'Mini SWASH II - Náklady'!$K$9+'Mini SWASH II - Náklady'!$K$12+'Mini SWASH II - Náklady'!$K$5+'Mini SWASH II - Náklady'!$K$6+'Mini SWASH II - Náklady'!$K$10+'Mini SWASH II - Náklady'!$K$11)+(8*'Mini SWASH II - Kalkulace P1'!F7)*'Mini SWASH II - Náklady'!$C$14+F24+F10+F10*$R$16</f>
        <v>1051395.5839958857</v>
      </c>
      <c r="X18" s="172">
        <f>X16*((G8+G9)*G5+'Mini SWASH II - Náklady'!$K$9+'Mini SWASH II - Náklady'!$K$12+'Mini SWASH II - Náklady'!$K$5+'Mini SWASH II - Náklady'!$K$6+'Mini SWASH II - Náklady'!$K$10+'Mini SWASH II - Náklady'!$K$11)+(8*'Mini SWASH II - Kalkulace P1'!G7)*'Mini SWASH II - Náklady'!$C$14+G24+G10+G10*$R$16</f>
        <v>1113135.3925390108</v>
      </c>
      <c r="Y18" s="172">
        <f>Y16*((H8+H9)*H5+'Mini SWASH II - Náklady'!$K$9+'Mini SWASH II - Náklady'!$K$12+'Mini SWASH II - Náklady'!$K$5+'Mini SWASH II - Náklady'!$K$6+'Mini SWASH II - Náklady'!$K$10+'Mini SWASH II - Náklady'!$K$11)+(8*'Mini SWASH II - Kalkulace P1'!H7)*'Mini SWASH II - Náklady'!$C$14+H24+H10+H10*$R$16</f>
        <v>1188065.3514213993</v>
      </c>
      <c r="Z18" s="172">
        <f>Z16*((I8+I9)*I5+'Mini SWASH II - Náklady'!$K$9+'Mini SWASH II - Náklady'!$K$12+'Mini SWASH II - Náklady'!$K$5+'Mini SWASH II - Náklady'!$K$6+'Mini SWASH II - Náklady'!$K$10+'Mini SWASH II - Náklady'!$K$11)+(8*'Mini SWASH II - Kalkulace P1'!I7)*'Mini SWASH II - Náklady'!$C$14+I24+I10+I10*$R$16</f>
        <v>1267022.1882717479</v>
      </c>
      <c r="AA18" s="172">
        <f>AA16*((J8+J9)*J5+'Mini SWASH II - Náklady'!$K$9+'Mini SWASH II - Náklady'!$K$12+'Mini SWASH II - Náklady'!$K$5+'Mini SWASH II - Náklady'!$K$6+'Mini SWASH II - Náklady'!$K$10+'Mini SWASH II - Náklady'!$K$11)+(8*'Mini SWASH II - Kalkulace P1'!J7)*'Mini SWASH II - Náklady'!$C$14+J24+J10+J10*$R$16</f>
        <v>1299403.905915729</v>
      </c>
      <c r="AB18" s="172">
        <f>AB16*((K8+K9)*K5+'Mini SWASH II - Náklady'!$K$9+'Mini SWASH II - Náklady'!$K$12+'Mini SWASH II - Náklady'!$K$5+'Mini SWASH II - Náklady'!$K$6+'Mini SWASH II - Náklady'!$K$10+'Mini SWASH II - Náklady'!$K$11)+(8*'Mini SWASH II - Kalkulace P1'!K7)*'Mini SWASH II - Náklady'!$C$14+K24+K10+K10*$R$16</f>
        <v>1332690.4734571129</v>
      </c>
      <c r="AC18" s="172">
        <f>AC16*((L8+L9)*L5+'Mini SWASH II - Náklady'!$K$9+'Mini SWASH II - Náklady'!$K$12+'Mini SWASH II - Náklady'!$K$5+'Mini SWASH II - Náklady'!$K$6+'Mini SWASH II - Náklady'!$K$10+'Mini SWASH II - Náklady'!$K$11)+(8*'Mini SWASH II - Kalkulace P1'!L7)*'Mini SWASH II - Náklady'!$C$14+L24+L10+L10*$R$16</f>
        <v>1359774.3622787413</v>
      </c>
      <c r="AD18" s="172">
        <f>AD16*((M8+M9)*M5+'Mini SWASH II - Náklady'!$K$9+'Mini SWASH II - Náklady'!$K$12+'Mini SWASH II - Náklady'!$K$5+'Mini SWASH II - Náklady'!$K$6+'Mini SWASH II - Náklady'!$K$10+'Mini SWASH II - Náklady'!$K$11)+(8*'Mini SWASH II - Kalkulace P1'!M7)*'Mini SWASH II - Náklady'!$C$14+M24+M10+M10*$R$16</f>
        <v>1394791.4779753129</v>
      </c>
      <c r="AE18" s="159">
        <f>SUM(W17:AD17)-SUM(W18:AD18)</f>
        <v>1861605.0000000019</v>
      </c>
    </row>
    <row r="19" spans="2:31" x14ac:dyDescent="0.25">
      <c r="B19" s="32" t="s">
        <v>45</v>
      </c>
      <c r="C19" s="74" t="s">
        <v>79</v>
      </c>
      <c r="D19" s="67">
        <f t="shared" ref="D19:M19" si="8">D8*D5*D13</f>
        <v>66999.332399999999</v>
      </c>
      <c r="E19" s="67">
        <f t="shared" si="8"/>
        <v>80798.51490110399</v>
      </c>
      <c r="F19" s="67">
        <f t="shared" si="8"/>
        <v>93761.44347829459</v>
      </c>
      <c r="G19" s="67">
        <f t="shared" si="8"/>
        <v>113072.55037708415</v>
      </c>
      <c r="H19" s="67">
        <f t="shared" si="8"/>
        <v>138983.29925376279</v>
      </c>
      <c r="I19" s="67">
        <f t="shared" si="8"/>
        <v>167608.29956806777</v>
      </c>
      <c r="J19" s="67">
        <f t="shared" si="8"/>
        <v>171295.68215856527</v>
      </c>
      <c r="K19" s="67">
        <f t="shared" si="8"/>
        <v>175064.18716605371</v>
      </c>
      <c r="L19" s="67">
        <f t="shared" si="8"/>
        <v>175539.83325948601</v>
      </c>
      <c r="M19" s="68">
        <f t="shared" si="8"/>
        <v>179401.7095911947</v>
      </c>
      <c r="R19" s="144">
        <v>0.12</v>
      </c>
      <c r="S19" s="157">
        <v>709.03011275886865</v>
      </c>
      <c r="T19" s="150" t="s">
        <v>115</v>
      </c>
      <c r="U19" s="170">
        <v>1250</v>
      </c>
      <c r="V19" s="170">
        <f>U19+U19*$R$19</f>
        <v>1400</v>
      </c>
      <c r="W19" s="170">
        <f>V19+V19*$R$19</f>
        <v>1568</v>
      </c>
      <c r="X19" s="170">
        <f>W19+W19*$R$19</f>
        <v>1756.16</v>
      </c>
      <c r="Y19" s="170">
        <f>X19+X19*$R$19</f>
        <v>1966.8992000000001</v>
      </c>
      <c r="Z19" s="170">
        <f>Y19+Y19*$R$19</f>
        <v>2202.9271039999999</v>
      </c>
      <c r="AA19" s="170">
        <f>Z19</f>
        <v>2202.9271039999999</v>
      </c>
      <c r="AB19" s="170">
        <f t="shared" ref="AB19:AD19" si="9">AA19</f>
        <v>2202.9271039999999</v>
      </c>
      <c r="AC19" s="170">
        <f t="shared" si="9"/>
        <v>2202.9271039999999</v>
      </c>
      <c r="AD19" s="170">
        <f t="shared" si="9"/>
        <v>2202.9271039999999</v>
      </c>
      <c r="AE19" s="158"/>
    </row>
    <row r="20" spans="2:31" x14ac:dyDescent="0.25">
      <c r="B20" s="32" t="s">
        <v>21</v>
      </c>
      <c r="C20" s="74" t="s">
        <v>79</v>
      </c>
      <c r="D20" s="67">
        <f t="shared" ref="D20:M20" si="10">D9*D13*D5</f>
        <v>94029.599999999991</v>
      </c>
      <c r="E20" s="67">
        <f t="shared" si="10"/>
        <v>113395.93641599998</v>
      </c>
      <c r="F20" s="67">
        <f t="shared" si="10"/>
        <v>131588.63991436799</v>
      </c>
      <c r="G20" s="67">
        <f t="shared" si="10"/>
        <v>158690.63619113123</v>
      </c>
      <c r="H20" s="67">
        <f t="shared" si="10"/>
        <v>195054.83961376926</v>
      </c>
      <c r="I20" s="67">
        <f t="shared" si="10"/>
        <v>235228.33438062118</v>
      </c>
      <c r="J20" s="67">
        <f t="shared" si="10"/>
        <v>240403.3577369948</v>
      </c>
      <c r="K20" s="67">
        <f t="shared" si="10"/>
        <v>245692.23160720873</v>
      </c>
      <c r="L20" s="67">
        <f t="shared" si="10"/>
        <v>246359.77276478306</v>
      </c>
      <c r="M20" s="68">
        <f t="shared" si="10"/>
        <v>251779.68776560828</v>
      </c>
      <c r="R20" s="152"/>
      <c r="S20" s="163"/>
      <c r="T20" s="148" t="s">
        <v>111</v>
      </c>
      <c r="U20" s="171">
        <f t="shared" ref="U20:AD20" si="11">U19*$S$19</f>
        <v>886287.64094858582</v>
      </c>
      <c r="V20" s="171">
        <f t="shared" si="11"/>
        <v>992642.15786241612</v>
      </c>
      <c r="W20" s="171">
        <f t="shared" si="11"/>
        <v>1111759.216805906</v>
      </c>
      <c r="X20" s="171">
        <f t="shared" si="11"/>
        <v>1245170.3228226148</v>
      </c>
      <c r="Y20" s="171">
        <f t="shared" si="11"/>
        <v>1394590.7615613285</v>
      </c>
      <c r="Z20" s="171">
        <f t="shared" si="11"/>
        <v>1561941.6529486878</v>
      </c>
      <c r="AA20" s="171">
        <f t="shared" si="11"/>
        <v>1561941.6529486878</v>
      </c>
      <c r="AB20" s="171">
        <f t="shared" si="11"/>
        <v>1561941.6529486878</v>
      </c>
      <c r="AC20" s="171">
        <f t="shared" si="11"/>
        <v>1561941.6529486878</v>
      </c>
      <c r="AD20" s="171">
        <f t="shared" si="11"/>
        <v>1561941.6529486878</v>
      </c>
      <c r="AE20" s="158"/>
    </row>
    <row r="21" spans="2:31" x14ac:dyDescent="0.25">
      <c r="B21" s="32" t="s">
        <v>56</v>
      </c>
      <c r="C21" s="74" t="s">
        <v>79</v>
      </c>
      <c r="D21" s="67">
        <f>D10</f>
        <v>18914</v>
      </c>
      <c r="E21" s="67">
        <f t="shared" ref="E21:M21" si="12">E10+E10*$M$1</f>
        <v>22809.527440000002</v>
      </c>
      <c r="F21" s="67">
        <f>F10+F10*$M$1</f>
        <v>23311.33704368</v>
      </c>
      <c r="G21" s="67">
        <f t="shared" si="12"/>
        <v>23824.186458640957</v>
      </c>
      <c r="H21" s="67">
        <f t="shared" si="12"/>
        <v>24348.318560731059</v>
      </c>
      <c r="I21" s="67">
        <f t="shared" si="12"/>
        <v>24883.981569067142</v>
      </c>
      <c r="J21" s="67">
        <f t="shared" si="12"/>
        <v>25431.429163586618</v>
      </c>
      <c r="K21" s="67">
        <f t="shared" si="12"/>
        <v>25990.920605185525</v>
      </c>
      <c r="L21" s="67">
        <f t="shared" si="12"/>
        <v>26562.720858499608</v>
      </c>
      <c r="M21" s="68">
        <f t="shared" si="12"/>
        <v>27147.100717386598</v>
      </c>
      <c r="R21" s="145"/>
      <c r="S21" s="162"/>
      <c r="T21" s="149" t="s">
        <v>113</v>
      </c>
      <c r="U21" s="172">
        <f>U18</f>
        <v>949426.09204520006</v>
      </c>
      <c r="V21" s="172">
        <f>V19*((E8+E9)*E5+'Mini SWASH II - Náklady'!$K$9+'Mini SWASH II - Náklady'!$K$12+'Mini SWASH II - Náklady'!$K$5+'Mini SWASH II - Náklady'!$K$6+'Mini SWASH II - Náklady'!$K$10+'Mini SWASH II - Náklady'!$K$11)+(8*'Mini SWASH II - Kalkulace P1'!E7)*'Mini SWASH II - Náklady'!$C$14+E24+E10+E10*$R$19</f>
        <v>997496.03863033606</v>
      </c>
      <c r="W21" s="172">
        <f>W19*((F8+F9)*F5+'Mini SWASH II - Náklady'!$K$9+'Mini SWASH II - Náklady'!$K$12+'Mini SWASH II - Náklady'!$K$5+'Mini SWASH II - Náklady'!$K$6+'Mini SWASH II - Náklady'!$K$10+'Mini SWASH II - Náklady'!$K$11)+(8*'Mini SWASH II - Kalkulace P1'!F7)*'Mini SWASH II - Náklady'!$C$14+F24+F10+F10*$R$19</f>
        <v>1039196.4044432875</v>
      </c>
      <c r="X21" s="172">
        <f>X19*((G8+G9)*G5+'Mini SWASH II - Náklady'!$K$9+'Mini SWASH II - Náklady'!$K$12+'Mini SWASH II - Náklady'!$K$5+'Mini SWASH II - Náklady'!$K$6+'Mini SWASH II - Náklady'!$K$10+'Mini SWASH II - Náklady'!$K$11)+(8*'Mini SWASH II - Kalkulace P1'!G7)*'Mini SWASH II - Náklady'!$C$14+G24+G10+G10*$R$19</f>
        <v>1092355.6103852033</v>
      </c>
      <c r="Y21" s="172">
        <f>Y19*((H8+H9)*H5+'Mini SWASH II - Náklady'!$K$9+'Mini SWASH II - Náklady'!$K$12+'Mini SWASH II - Náklady'!$K$5+'Mini SWASH II - Náklady'!$K$6+'Mini SWASH II - Náklady'!$K$10+'Mini SWASH II - Náklady'!$K$11)+(8*'Mini SWASH II - Kalkulace P1'!H7)*'Mini SWASH II - Náklady'!$C$14+H24+H10+H10*$R$19</f>
        <v>1155703.6098029127</v>
      </c>
      <c r="Z21" s="172">
        <f>Z19*((I8+I9)*I5+'Mini SWASH II - Náklady'!$K$9+'Mini SWASH II - Náklady'!$K$12+'Mini SWASH II - Náklady'!$K$5+'Mini SWASH II - Náklady'!$K$6+'Mini SWASH II - Náklady'!$K$10+'Mini SWASH II - Náklady'!$K$11)+(8*'Mini SWASH II - Kalkulace P1'!I7)*'Mini SWASH II - Náklady'!$C$14+I24+I10+I10*$R$19</f>
        <v>1220402.8201996698</v>
      </c>
      <c r="AA21" s="172">
        <f>AA19*((J8+J9)*J5+'Mini SWASH II - Náklady'!$K$9+'Mini SWASH II - Náklady'!$K$12+'Mini SWASH II - Náklady'!$K$5+'Mini SWASH II - Náklady'!$K$6+'Mini SWASH II - Náklady'!$K$10+'Mini SWASH II - Náklady'!$K$11)+(8*'Mini SWASH II - Kalkulace P1'!J7)*'Mini SWASH II - Náklady'!$C$14+J24+J10+J10*$R$19</f>
        <v>1251805.9736332803</v>
      </c>
      <c r="AB21" s="172">
        <f>AB19*((K8+K9)*K5+'Mini SWASH II - Náklady'!$K$9+'Mini SWASH II - Náklady'!$K$12+'Mini SWASH II - Náklady'!$K$5+'Mini SWASH II - Náklady'!$K$6+'Mini SWASH II - Náklady'!$K$10+'Mini SWASH II - Náklady'!$K$11)+(8*'Mini SWASH II - Kalkulace P1'!K7)*'Mini SWASH II - Náklady'!$C$14+K24+K10+K10*$R$19</f>
        <v>1284092.4485516658</v>
      </c>
      <c r="AC21" s="172">
        <f>AC19*((L8+L9)*L5+'Mini SWASH II - Náklady'!$K$9+'Mini SWASH II - Náklady'!$K$12+'Mini SWASH II - Náklady'!$K$5+'Mini SWASH II - Náklady'!$K$6+'Mini SWASH II - Náklady'!$K$10+'Mini SWASH II - Náklady'!$K$11)+(8*'Mini SWASH II - Kalkulace P1'!L7)*'Mini SWASH II - Náklady'!$C$14+L24+L10+L10*$R$19</f>
        <v>1311037.3676081158</v>
      </c>
      <c r="AD21" s="172">
        <f>AD19*((M8+M9)*M5+'Mini SWASH II - Náklady'!$K$9+'Mini SWASH II - Náklady'!$K$12+'Mini SWASH II - Náklady'!$K$5+'Mini SWASH II - Náklady'!$K$6+'Mini SWASH II - Náklady'!$K$10+'Mini SWASH II - Náklady'!$K$11)+(8*'Mini SWASH II - Kalkulace P1'!M7)*'Mini SWASH II - Náklady'!$C$14+M24+M10+M10*$R$19</f>
        <v>1345029.3313091483</v>
      </c>
      <c r="AE21" s="159">
        <f t="shared" ref="AE21:AE30" si="13">SUM(W20:AD20)-SUM(W21:AD21)</f>
        <v>1861605.0000000075</v>
      </c>
    </row>
    <row r="22" spans="2:31" x14ac:dyDescent="0.25">
      <c r="B22" s="69" t="s">
        <v>61</v>
      </c>
      <c r="C22" s="79" t="s">
        <v>79</v>
      </c>
      <c r="D22" s="63">
        <f>('Mini SWASH II - Náklady'!$K$12*'Mini SWASH II - Náklady'!$K$9)*'Mini SWASH II - Kalkulace P1'!D13</f>
        <v>4481.2334951999992</v>
      </c>
      <c r="E22" s="63">
        <f>('Mini SWASH II - Náklady'!$K$12*'Mini SWASH II - Náklady'!$K$9)*'Mini SWASH II - Kalkulace P1'!E13</f>
        <v>5287.8555243359997</v>
      </c>
      <c r="F22" s="63">
        <f>('Mini SWASH II - Náklady'!$K$12*'Mini SWASH II - Náklady'!$K$9)*'Mini SWASH II - Kalkulace P1'!F13</f>
        <v>6239.6695187164787</v>
      </c>
      <c r="G22" s="63">
        <f>('Mini SWASH II - Náklady'!$K$12*'Mini SWASH II - Náklady'!$K$9)*'Mini SWASH II - Kalkulace P1'!G13</f>
        <v>7362.8100320854455</v>
      </c>
      <c r="H22" s="63">
        <f>('Mini SWASH II - Náklady'!$K$12*'Mini SWASH II - Náklady'!$K$9)*'Mini SWASH II - Kalkulace P1'!H13</f>
        <v>8688.1158378608252</v>
      </c>
      <c r="I22" s="63">
        <f>('Mini SWASH II - Náklady'!$K$12*'Mini SWASH II - Náklady'!$K$9)*'Mini SWASH II - Kalkulace P1'!I13</f>
        <v>10251.976688675775</v>
      </c>
      <c r="J22" s="63">
        <f>('Mini SWASH II - Náklady'!$K$12*'Mini SWASH II - Náklady'!$K$9)*'Mini SWASH II - Kalkulace P1'!J13</f>
        <v>10251.976688675775</v>
      </c>
      <c r="K22" s="63">
        <f>('Mini SWASH II - Náklady'!$K$12*'Mini SWASH II - Náklady'!$K$9)*'Mini SWASH II - Kalkulace P1'!K13</f>
        <v>10251.976688675775</v>
      </c>
      <c r="L22" s="63">
        <f>('Mini SWASH II - Náklady'!$K$12*'Mini SWASH II - Náklady'!$K$9)*'Mini SWASH II - Kalkulace P1'!L13</f>
        <v>10251.976688675775</v>
      </c>
      <c r="M22" s="70">
        <f>('Mini SWASH II - Náklady'!$K$12*'Mini SWASH II - Náklady'!$K$9)*'Mini SWASH II - Kalkulace P1'!M13</f>
        <v>10251.976688675775</v>
      </c>
      <c r="R22" s="144">
        <v>0.09</v>
      </c>
      <c r="S22" s="165">
        <v>778.92503051872404</v>
      </c>
      <c r="T22" s="150" t="s">
        <v>115</v>
      </c>
      <c r="U22" s="170">
        <v>1250</v>
      </c>
      <c r="V22" s="170">
        <f>U22+U22*$R$22</f>
        <v>1362.5</v>
      </c>
      <c r="W22" s="170">
        <f>V22+V22*$R$22</f>
        <v>1485.125</v>
      </c>
      <c r="X22" s="170">
        <f>W22+W22*$R$22</f>
        <v>1618.7862500000001</v>
      </c>
      <c r="Y22" s="170">
        <f>X22+X22*$R$22</f>
        <v>1764.4770125</v>
      </c>
      <c r="Z22" s="170">
        <f>Y22+Y22*$R$22</f>
        <v>1923.279943625</v>
      </c>
      <c r="AA22" s="170">
        <f>Z22</f>
        <v>1923.279943625</v>
      </c>
      <c r="AB22" s="170">
        <f t="shared" ref="AB22:AD22" si="14">AA22</f>
        <v>1923.279943625</v>
      </c>
      <c r="AC22" s="170">
        <f t="shared" si="14"/>
        <v>1923.279943625</v>
      </c>
      <c r="AD22" s="170">
        <f t="shared" si="14"/>
        <v>1923.279943625</v>
      </c>
      <c r="AE22" s="158"/>
    </row>
    <row r="23" spans="2:31" ht="14.4" thickBot="1" x14ac:dyDescent="0.3">
      <c r="B23" s="92" t="s">
        <v>78</v>
      </c>
      <c r="C23" s="93" t="s">
        <v>79</v>
      </c>
      <c r="D23" s="94">
        <f>SUM(D17:D22)</f>
        <v>879984.69204520003</v>
      </c>
      <c r="E23" s="94">
        <f t="shared" ref="E23:M23" si="15">SUM(E17:E22)</f>
        <v>939296.45513844001</v>
      </c>
      <c r="F23" s="94">
        <f t="shared" si="15"/>
        <v>994097.03856631916</v>
      </c>
      <c r="G23" s="94">
        <f t="shared" si="15"/>
        <v>1065125.8133002284</v>
      </c>
      <c r="H23" s="94">
        <f t="shared" si="15"/>
        <v>1153063.9601572424</v>
      </c>
      <c r="I23" s="94">
        <f t="shared" si="15"/>
        <v>1248660.8762405436</v>
      </c>
      <c r="J23" s="94">
        <f t="shared" si="15"/>
        <v>1282127.2434364001</v>
      </c>
      <c r="K23" s="94">
        <f t="shared" si="15"/>
        <v>1316522.3228198013</v>
      </c>
      <c r="L23" s="94">
        <f t="shared" si="15"/>
        <v>1343758.8656601454</v>
      </c>
      <c r="M23" s="95">
        <f t="shared" si="15"/>
        <v>1379912.2388476699</v>
      </c>
      <c r="R23" s="152"/>
      <c r="S23" s="163"/>
      <c r="T23" s="148" t="s">
        <v>111</v>
      </c>
      <c r="U23" s="171">
        <f t="shared" ref="U23:AD23" si="16">$S$22*U22</f>
        <v>973656.28814840503</v>
      </c>
      <c r="V23" s="171">
        <f t="shared" si="16"/>
        <v>1061285.3540817616</v>
      </c>
      <c r="W23" s="171">
        <f t="shared" si="16"/>
        <v>1156801.0359491201</v>
      </c>
      <c r="X23" s="171">
        <f t="shared" si="16"/>
        <v>1260913.1291845408</v>
      </c>
      <c r="Y23" s="171">
        <f t="shared" si="16"/>
        <v>1374395.3108111494</v>
      </c>
      <c r="Z23" s="171">
        <f t="shared" si="16"/>
        <v>1498090.8887841529</v>
      </c>
      <c r="AA23" s="171">
        <f t="shared" si="16"/>
        <v>1498090.8887841529</v>
      </c>
      <c r="AB23" s="171">
        <f t="shared" si="16"/>
        <v>1498090.8887841529</v>
      </c>
      <c r="AC23" s="171">
        <f t="shared" si="16"/>
        <v>1498090.8887841529</v>
      </c>
      <c r="AD23" s="171">
        <f t="shared" si="16"/>
        <v>1498090.8887841529</v>
      </c>
      <c r="AE23" s="158"/>
    </row>
    <row r="24" spans="2:31" x14ac:dyDescent="0.25">
      <c r="B24" s="66" t="s">
        <v>8</v>
      </c>
      <c r="C24" s="78" t="s">
        <v>79</v>
      </c>
      <c r="D24" s="58">
        <f>'Mini SWASH II - Náklady'!$E$3/10</f>
        <v>69441.399999999994</v>
      </c>
      <c r="E24" s="58">
        <f>'Mini SWASH II - Náklady'!$E$3/10</f>
        <v>69441.399999999994</v>
      </c>
      <c r="F24" s="58">
        <f>'Mini SWASH II - Náklady'!$E$3/10</f>
        <v>69441.399999999994</v>
      </c>
      <c r="G24" s="58">
        <f>'Mini SWASH II - Náklady'!$E$3/10</f>
        <v>69441.399999999994</v>
      </c>
      <c r="H24" s="58">
        <f>'Mini SWASH II - Náklady'!$E$3/10</f>
        <v>69441.399999999994</v>
      </c>
      <c r="I24" s="58">
        <f>'Mini SWASH II - Náklady'!$E$3/10</f>
        <v>69441.399999999994</v>
      </c>
      <c r="J24" s="58">
        <f>'Mini SWASH II - Náklady'!$E$3/10</f>
        <v>69441.399999999994</v>
      </c>
      <c r="K24" s="58">
        <f>'Mini SWASH II - Náklady'!$E$3/10</f>
        <v>69441.399999999994</v>
      </c>
      <c r="L24" s="58">
        <f>'Mini SWASH II - Náklady'!$E$3/10</f>
        <v>69441.399999999994</v>
      </c>
      <c r="M24" s="59">
        <f>'Mini SWASH II - Náklady'!$E$3/10</f>
        <v>69441.399999999994</v>
      </c>
      <c r="R24" s="145"/>
      <c r="S24" s="166"/>
      <c r="T24" s="149" t="s">
        <v>113</v>
      </c>
      <c r="U24" s="173">
        <f>U21</f>
        <v>949426.09204520006</v>
      </c>
      <c r="V24" s="174">
        <f>V$22*((E8+E9)*E5+'Mini SWASH II - Náklady'!$K$9+'Mini SWASH II - Náklady'!$K$12+'Mini SWASH II - Náklady'!$K$5+'Mini SWASH II - Náklady'!$K$6+'Mini SWASH II - Náklady'!$K$10+'Mini SWASH II - Náklady'!$K$11)+(8*'Mini SWASH II - Kalkulace P1'!E7)*'Mini SWASH II - Náklady'!$C$14+E24+E10+E10*$R$22</f>
        <v>991721.2722384521</v>
      </c>
      <c r="W24" s="172">
        <f>W$22*((F8+F9)*F5+'Mini SWASH II - Náklady'!$K$9+'Mini SWASH II - Náklady'!$K$12+'Mini SWASH II - Náklady'!$K$5+'Mini SWASH II - Náklady'!$K$6+'Mini SWASH II - Náklady'!$K$10+'Mini SWASH II - Náklady'!$K$11)+(8*'Mini SWASH II - Kalkulace P1'!F7)*'Mini SWASH II - Náklady'!$C$14+F24+F10+F10*$R$22</f>
        <v>1027304.0051138077</v>
      </c>
      <c r="X24" s="172">
        <f>X$22*((G8+G9)*G5+'Mini SWASH II - Náklady'!$K$9+'Mini SWASH II - Náklady'!$K$12+'Mini SWASH II - Náklady'!$K$5+'Mini SWASH II - Náklady'!$K$6+'Mini SWASH II - Náklady'!$K$10+'Mini SWASH II - Náklady'!$K$11)+(8*'Mini SWASH II - Kalkulace P1'!G7)*'Mini SWASH II - Náklady'!$C$14+G24+G10+G10*$R$22</f>
        <v>1072628.143952789</v>
      </c>
      <c r="Y24" s="172">
        <f>Y$22*((H8+H9)*H5+'Mini SWASH II - Náklady'!$K$9+'Mini SWASH II - Náklady'!$K$12+'Mini SWASH II - Náklady'!$K$5+'Mini SWASH II - Náklady'!$K$6+'Mini SWASH II - Náklady'!$K$10+'Mini SWASH II - Náklady'!$K$11)+(8*'Mini SWASH II - Kalkulace P1'!H7)*'Mini SWASH II - Náklady'!$C$14+H24+H10+H10*$R$22</f>
        <v>1125792.686651787</v>
      </c>
      <c r="Z24" s="172">
        <f>Z$22*((I8+I9)*I5+'Mini SWASH II - Náklady'!$K$9+'Mini SWASH II - Náklady'!$K$12+'Mini SWASH II - Náklady'!$K$5+'Mini SWASH II - Náklady'!$K$6+'Mini SWASH II - Náklady'!$K$10+'Mini SWASH II - Náklady'!$K$11)+(8*'Mini SWASH II - Kalkulace P1'!I7)*'Mini SWASH II - Náklady'!$C$14+I24+I10+I10*$R$22</f>
        <v>1178455.2971918522</v>
      </c>
      <c r="AA24" s="172">
        <f>AA$22*((J8+J9)*J5+'Mini SWASH II - Náklady'!$K$9+'Mini SWASH II - Náklady'!$K$12+'Mini SWASH II - Náklady'!$K$5+'Mini SWASH II - Náklady'!$K$6+'Mini SWASH II - Náklady'!$K$10+'Mini SWASH II - Náklady'!$K$11)+(8*'Mini SWASH II - Kalkulace P1'!J7)*'Mini SWASH II - Náklady'!$C$14+J24+J10+J10*$R$22</f>
        <v>1208977.8859344025</v>
      </c>
      <c r="AB24" s="172">
        <f>AB$22*((K8+K9)*K5+'Mini SWASH II - Náklady'!$K$9+'Mini SWASH II - Náklady'!$K$12+'Mini SWASH II - Náklady'!$K$5+'Mini SWASH II - Náklady'!$K$6+'Mini SWASH II - Náklady'!$K$10+'Mini SWASH II - Náklady'!$K$11)+(8*'Mini SWASH II - Kalkulace P1'!K7)*'Mini SWASH II - Náklady'!$C$14+K24+K10+K10*$R$22</f>
        <v>1240364.4237385246</v>
      </c>
      <c r="AC24" s="172">
        <f>AC$22*((L8+L9)*L5+'Mini SWASH II - Náklady'!$K$9+'Mini SWASH II - Náklady'!$K$12+'Mini SWASH II - Náklady'!$K$5+'Mini SWASH II - Náklady'!$K$6+'Mini SWASH II - Náklady'!$K$10+'Mini SWASH II - Náklady'!$K$11)+(8*'Mini SWASH II - Kalkulace P1'!L7)*'Mini SWASH II - Náklady'!$C$14+L24+L10+L10*$R$22</f>
        <v>1267183.0142698558</v>
      </c>
      <c r="AD24" s="172">
        <f>AD$22*((M8+M9)*M5+'Mini SWASH II - Náklady'!$K$9+'Mini SWASH II - Náklady'!$K$12+'Mini SWASH II - Náklady'!$K$5+'Mini SWASH II - Náklady'!$K$6+'Mini SWASH II - Náklady'!$K$10+'Mini SWASH II - Náklady'!$K$11)+(8*'Mini SWASH II - Kalkulace P1'!M7)*'Mini SWASH II - Náklady'!$C$14+M24+M10+M10*$R$22</f>
        <v>1300252.4630125586</v>
      </c>
      <c r="AE24" s="159">
        <f t="shared" si="13"/>
        <v>1861605.9999999981</v>
      </c>
    </row>
    <row r="25" spans="2:31" ht="14.4" thickBot="1" x14ac:dyDescent="0.3">
      <c r="B25" s="80" t="s">
        <v>82</v>
      </c>
      <c r="C25" s="81" t="s">
        <v>79</v>
      </c>
      <c r="D25" s="82">
        <f>'Mini SWASH II - Náklady'!$E$3/100*11</f>
        <v>76385.540000000008</v>
      </c>
      <c r="E25" s="82">
        <f>'Mini SWASH II - Náklady'!$E$3/100*22.25</f>
        <v>154507.11500000002</v>
      </c>
      <c r="F25" s="82">
        <f>'Mini SWASH II - Náklady'!$E$3/100*22.25</f>
        <v>154507.11500000002</v>
      </c>
      <c r="G25" s="82">
        <f>'Mini SWASH II - Náklady'!$E$3/100*22.25</f>
        <v>154507.11500000002</v>
      </c>
      <c r="H25" s="82">
        <f>'Mini SWASH II - Náklady'!$E$3/100*22.25</f>
        <v>154507.11500000002</v>
      </c>
      <c r="I25" s="82">
        <v>0</v>
      </c>
      <c r="J25" s="82">
        <v>0</v>
      </c>
      <c r="K25" s="82">
        <v>0</v>
      </c>
      <c r="L25" s="82">
        <v>0</v>
      </c>
      <c r="M25" s="83">
        <v>0</v>
      </c>
      <c r="R25" s="144">
        <v>0.06</v>
      </c>
      <c r="S25" s="157">
        <v>859.33781718986211</v>
      </c>
      <c r="T25" s="150" t="s">
        <v>115</v>
      </c>
      <c r="U25" s="170">
        <v>1250</v>
      </c>
      <c r="V25" s="170">
        <f>U25+U25*$R$25</f>
        <v>1325</v>
      </c>
      <c r="W25" s="170">
        <f>V25+V25*$R$25</f>
        <v>1404.5</v>
      </c>
      <c r="X25" s="170">
        <f>W25+W25*$R$25</f>
        <v>1488.77</v>
      </c>
      <c r="Y25" s="170">
        <f>X25+X25*$R$25</f>
        <v>1578.0962</v>
      </c>
      <c r="Z25" s="170">
        <f>Y25+Y25*$R$25</f>
        <v>1672.781972</v>
      </c>
      <c r="AA25" s="170">
        <f>Z25</f>
        <v>1672.781972</v>
      </c>
      <c r="AB25" s="170">
        <f t="shared" ref="AB25:AD25" si="17">AA25</f>
        <v>1672.781972</v>
      </c>
      <c r="AC25" s="170">
        <f t="shared" si="17"/>
        <v>1672.781972</v>
      </c>
      <c r="AD25" s="170">
        <f t="shared" si="17"/>
        <v>1672.781972</v>
      </c>
      <c r="AE25" s="158"/>
    </row>
    <row r="26" spans="2:31" ht="14.4" thickBot="1" x14ac:dyDescent="0.3">
      <c r="B26" s="88" t="s">
        <v>77</v>
      </c>
      <c r="C26" s="89" t="s">
        <v>79</v>
      </c>
      <c r="D26" s="90">
        <f t="shared" ref="D26:M26" si="18">SUM(D23:D24)</f>
        <v>949426.09204520006</v>
      </c>
      <c r="E26" s="90">
        <f t="shared" si="18"/>
        <v>1008737.85513844</v>
      </c>
      <c r="F26" s="90">
        <f t="shared" si="18"/>
        <v>1063538.4385663192</v>
      </c>
      <c r="G26" s="90">
        <f t="shared" si="18"/>
        <v>1134567.2133002284</v>
      </c>
      <c r="H26" s="90">
        <f t="shared" si="18"/>
        <v>1222505.3601572423</v>
      </c>
      <c r="I26" s="90">
        <f t="shared" si="18"/>
        <v>1318102.2762405435</v>
      </c>
      <c r="J26" s="90">
        <f t="shared" si="18"/>
        <v>1351568.6434364</v>
      </c>
      <c r="K26" s="90">
        <f t="shared" si="18"/>
        <v>1385963.7228198012</v>
      </c>
      <c r="L26" s="90">
        <f t="shared" si="18"/>
        <v>1413200.2656601453</v>
      </c>
      <c r="M26" s="91">
        <f t="shared" si="18"/>
        <v>1449353.6388476698</v>
      </c>
      <c r="R26" s="152"/>
      <c r="S26" s="163"/>
      <c r="T26" s="148" t="s">
        <v>111</v>
      </c>
      <c r="U26" s="171">
        <f t="shared" ref="U26:AD26" si="19">U25*$S$25</f>
        <v>1074172.2714873275</v>
      </c>
      <c r="V26" s="171">
        <f t="shared" si="19"/>
        <v>1138622.6077765673</v>
      </c>
      <c r="W26" s="171">
        <f t="shared" si="19"/>
        <v>1206939.9642431613</v>
      </c>
      <c r="X26" s="171">
        <f t="shared" si="19"/>
        <v>1279356.3620977509</v>
      </c>
      <c r="Y26" s="171">
        <f t="shared" si="19"/>
        <v>1356117.7438236161</v>
      </c>
      <c r="Z26" s="171">
        <f t="shared" si="19"/>
        <v>1437484.808453033</v>
      </c>
      <c r="AA26" s="171">
        <f t="shared" si="19"/>
        <v>1437484.808453033</v>
      </c>
      <c r="AB26" s="171">
        <f t="shared" si="19"/>
        <v>1437484.808453033</v>
      </c>
      <c r="AC26" s="171">
        <f t="shared" si="19"/>
        <v>1437484.808453033</v>
      </c>
      <c r="AD26" s="171">
        <f t="shared" si="19"/>
        <v>1437484.808453033</v>
      </c>
      <c r="AE26" s="158"/>
    </row>
    <row r="27" spans="2:31" s="84" customFormat="1" ht="14.4" thickBot="1" x14ac:dyDescent="0.3">
      <c r="B27" s="14"/>
      <c r="C27" s="129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R27" s="145"/>
      <c r="S27" s="162"/>
      <c r="T27" s="149" t="s">
        <v>113</v>
      </c>
      <c r="U27" s="175">
        <f>U24</f>
        <v>949426.09204520006</v>
      </c>
      <c r="V27" s="176">
        <f>V25*((E8+E9)*E5+'Mini SWASH II - Náklady'!$K$9+'Mini SWASH II - Náklady'!$K$12+'Mini SWASH II - Náklady'!$K$5+'Mini SWASH II - Náklady'!$K$6+'Mini SWASH II - Náklady'!$K$10+'Mini SWASH II - Náklady'!$K$11)+(8*'Mini SWASH II - Kalkulace P1'!E7)*'Mini SWASH II - Náklady'!$C$14+E24+E10+E10*$R$25</f>
        <v>985946.50584656803</v>
      </c>
      <c r="W27" s="176">
        <f>W25*((F8+F9)*F5+'Mini SWASH II - Náklady'!$K$9+'Mini SWASH II - Náklady'!$K$12+'Mini SWASH II - Náklady'!$K$5+'Mini SWASH II - Náklady'!$K$6+'Mini SWASH II - Náklady'!$K$10+'Mini SWASH II - Náklady'!$K$11)+(8*'Mini SWASH II - Kalkulace P1'!F7)*'Mini SWASH II - Náklady'!$C$14+F24+F10+F10*$R$25</f>
        <v>1015718.3860074466</v>
      </c>
      <c r="X27" s="176">
        <f>X25*((G8+G9)*G5+'Mini SWASH II - Náklady'!$K$9+'Mini SWASH II - Náklady'!$K$12+'Mini SWASH II - Náklady'!$K$5+'Mini SWASH II - Náklady'!$K$6+'Mini SWASH II - Náklady'!$K$10+'Mini SWASH II - Náklady'!$K$11)+(8*'Mini SWASH II - Kalkulace P1'!G7)*'Mini SWASH II - Náklady'!$C$14+G24+G10+G10*$R$25</f>
        <v>1053924.8062135165</v>
      </c>
      <c r="Y27" s="176">
        <f>Y25*((H8+H9)*H5+'Mini SWASH II - Náklady'!$K$9+'Mini SWASH II - Náklady'!$K$12+'Mini SWASH II - Náklady'!$K$5+'Mini SWASH II - Náklady'!$K$6+'Mini SWASH II - Náklady'!$K$10+'Mini SWASH II - Náklady'!$K$11)+(8*'Mini SWASH II - Kalkulace P1'!H7)*'Mini SWASH II - Náklady'!$C$14+H24+H10+H10*$R$25</f>
        <v>1098203.0620091639</v>
      </c>
      <c r="Z27" s="176">
        <f>Z25*((I8+I9)*I5+'Mini SWASH II - Náklady'!$K$9+'Mini SWASH II - Náklady'!$K$12+'Mini SWASH II - Náklady'!$K$5+'Mini SWASH II - Náklady'!$K$6+'Mini SWASH II - Náklady'!$K$10+'Mini SWASH II - Náklady'!$K$11)+(8*'Mini SWASH II - Kalkulace P1'!I7)*'Mini SWASH II - Náklady'!$C$14+I24+I10+I10*$R$25</f>
        <v>1140814.2553099287</v>
      </c>
      <c r="AA27" s="176">
        <f>AA25*((J8+J9)*J5+'Mini SWASH II - Náklady'!$K$9+'Mini SWASH II - Náklady'!$K$12+'Mini SWASH II - Náklady'!$K$5+'Mini SWASH II - Náklady'!$K$6+'Mini SWASH II - Náklady'!$K$10+'Mini SWASH II - Náklady'!$K$11)+(8*'Mini SWASH II - Kalkulace P1'!J7)*'Mini SWASH II - Náklady'!$C$14+J24+J10+J10*$R$25</f>
        <v>1170546.6147801778</v>
      </c>
      <c r="AB27" s="176">
        <f>AB25*((K8+K9)*K5+'Mini SWASH II - Náklady'!$K$9+'Mini SWASH II - Náklady'!$K$12+'Mini SWASH II - Náklady'!$K$5+'Mini SWASH II - Náklady'!$K$6+'Mini SWASH II - Náklady'!$K$10+'Mini SWASH II - Náklady'!$K$11)+(8*'Mini SWASH II - Kalkulace P1'!K7)*'Mini SWASH II - Náklady'!$C$14+K24+K10+K10*$R$25</f>
        <v>1201125.538268008</v>
      </c>
      <c r="AC27" s="176">
        <f>AC25*((L8+L9)*L5+'Mini SWASH II - Náklady'!$K$9+'Mini SWASH II - Náklady'!$K$12+'Mini SWASH II - Náklady'!$K$5+'Mini SWASH II - Náklady'!$K$6+'Mini SWASH II - Náklady'!$K$10+'Mini SWASH II - Náklady'!$K$11)+(8*'Mini SWASH II - Kalkulace P1'!L7)*'Mini SWASH II - Náklady'!$C$14+L24+L10+L10*$R$25</f>
        <v>1227829.4528998912</v>
      </c>
      <c r="AD27" s="176">
        <f>AD25*((M8+M9)*M5+'Mini SWASH II - Náklady'!$K$9+'Mini SWASH II - Náklady'!$K$12+'Mini SWASH II - Náklady'!$K$5+'Mini SWASH II - Náklady'!$K$6+'Mini SWASH II - Náklady'!$K$10+'Mini SWASH II - Náklady'!$K$11)+(8*'Mini SWASH II - Kalkulace P1'!M7)*'Mini SWASH II - Náklady'!$C$14+M24+M10+M10*$R$25</f>
        <v>1260070.9969415562</v>
      </c>
      <c r="AE27" s="159">
        <f t="shared" si="13"/>
        <v>1861605.0000000019</v>
      </c>
    </row>
    <row r="28" spans="2:31" ht="14.4" thickBot="1" x14ac:dyDescent="0.3">
      <c r="B28" s="131" t="s">
        <v>102</v>
      </c>
      <c r="C28" s="132" t="s">
        <v>79</v>
      </c>
      <c r="D28" s="133">
        <f>D26/D13</f>
        <v>759.54087363616009</v>
      </c>
      <c r="E28" s="133">
        <f t="shared" ref="E28:M28" si="20">E26/E13</f>
        <v>683.89007128029834</v>
      </c>
      <c r="F28" s="133">
        <f t="shared" si="20"/>
        <v>611.05339762500387</v>
      </c>
      <c r="G28" s="133">
        <f t="shared" si="20"/>
        <v>552.42610651538291</v>
      </c>
      <c r="H28" s="133">
        <f t="shared" si="20"/>
        <v>504.44373166617805</v>
      </c>
      <c r="I28" s="133">
        <f t="shared" si="20"/>
        <v>460.92372230326987</v>
      </c>
      <c r="J28" s="133">
        <f t="shared" si="20"/>
        <v>472.62648833131908</v>
      </c>
      <c r="K28" s="133">
        <f t="shared" si="20"/>
        <v>484.65401328448939</v>
      </c>
      <c r="L28" s="133">
        <f t="shared" si="20"/>
        <v>494.1782883995055</v>
      </c>
      <c r="M28" s="134">
        <f t="shared" si="20"/>
        <v>506.82066649397439</v>
      </c>
      <c r="R28" s="144">
        <v>0.03</v>
      </c>
      <c r="S28" s="157">
        <v>952.11088165004719</v>
      </c>
      <c r="T28" s="150" t="s">
        <v>115</v>
      </c>
      <c r="U28" s="170">
        <v>1250</v>
      </c>
      <c r="V28" s="170">
        <f>U28+U28*$R$28</f>
        <v>1287.5</v>
      </c>
      <c r="W28" s="170">
        <f>V28+V28*$R$28</f>
        <v>1326.125</v>
      </c>
      <c r="X28" s="170">
        <f>W28+W28*$R$28</f>
        <v>1365.9087500000001</v>
      </c>
      <c r="Y28" s="170">
        <f>X28+X28*$R$28</f>
        <v>1406.8860125000001</v>
      </c>
      <c r="Z28" s="170">
        <f>Y28+Y28*$R$28</f>
        <v>1449.092592875</v>
      </c>
      <c r="AA28" s="170">
        <f>Z28</f>
        <v>1449.092592875</v>
      </c>
      <c r="AB28" s="170">
        <f t="shared" ref="AB28:AD28" si="21">AA28</f>
        <v>1449.092592875</v>
      </c>
      <c r="AC28" s="170">
        <f t="shared" si="21"/>
        <v>1449.092592875</v>
      </c>
      <c r="AD28" s="170">
        <f t="shared" si="21"/>
        <v>1449.092592875</v>
      </c>
      <c r="AE28" s="158"/>
    </row>
    <row r="29" spans="2:31" ht="14.4" thickBot="1" x14ac:dyDescent="0.3">
      <c r="R29" s="152"/>
      <c r="S29" s="163"/>
      <c r="T29" s="148" t="s">
        <v>111</v>
      </c>
      <c r="U29" s="171">
        <f t="shared" ref="U29:AD29" si="22">U28*$S$28</f>
        <v>1190138.602062559</v>
      </c>
      <c r="V29" s="171">
        <f t="shared" si="22"/>
        <v>1225842.7601244356</v>
      </c>
      <c r="W29" s="171">
        <f t="shared" si="22"/>
        <v>1262618.0429281688</v>
      </c>
      <c r="X29" s="171">
        <f t="shared" si="22"/>
        <v>1300496.584216014</v>
      </c>
      <c r="Y29" s="171">
        <f t="shared" si="22"/>
        <v>1339511.4817424945</v>
      </c>
      <c r="Z29" s="171">
        <f t="shared" si="22"/>
        <v>1379696.8261947692</v>
      </c>
      <c r="AA29" s="171">
        <f t="shared" si="22"/>
        <v>1379696.8261947692</v>
      </c>
      <c r="AB29" s="171">
        <f t="shared" si="22"/>
        <v>1379696.8261947692</v>
      </c>
      <c r="AC29" s="171">
        <f t="shared" si="22"/>
        <v>1379696.8261947692</v>
      </c>
      <c r="AD29" s="171">
        <f t="shared" si="22"/>
        <v>1379696.8261947692</v>
      </c>
      <c r="AE29" s="158"/>
    </row>
    <row r="30" spans="2:31" ht="14.4" thickBot="1" x14ac:dyDescent="0.3">
      <c r="B30" s="99" t="s">
        <v>80</v>
      </c>
      <c r="C30" s="101">
        <v>-694414</v>
      </c>
      <c r="D30" s="101">
        <f>D15-D23</f>
        <v>-118206.63899998507</v>
      </c>
      <c r="E30" s="101">
        <f t="shared" ref="E30:M30" si="23">E15-E23</f>
        <v>-40398.352545086294</v>
      </c>
      <c r="F30" s="101">
        <f t="shared" si="23"/>
        <v>66602.72249383817</v>
      </c>
      <c r="G30" s="101">
        <f t="shared" si="23"/>
        <v>186499.90475075715</v>
      </c>
      <c r="H30" s="101">
        <f t="shared" si="23"/>
        <v>323854.38714292087</v>
      </c>
      <c r="I30" s="101">
        <f t="shared" si="23"/>
        <v>494102.77357364888</v>
      </c>
      <c r="J30" s="101">
        <f t="shared" si="23"/>
        <v>460636.40637779236</v>
      </c>
      <c r="K30" s="101">
        <f t="shared" si="23"/>
        <v>426241.32699439116</v>
      </c>
      <c r="L30" s="101">
        <f t="shared" si="23"/>
        <v>399004.78415404703</v>
      </c>
      <c r="M30" s="102">
        <f t="shared" si="23"/>
        <v>362851.41096652253</v>
      </c>
      <c r="N30" s="71"/>
      <c r="R30" s="146"/>
      <c r="S30" s="167"/>
      <c r="T30" s="153" t="s">
        <v>113</v>
      </c>
      <c r="U30" s="177">
        <f>U27</f>
        <v>949426.09204520006</v>
      </c>
      <c r="V30" s="178">
        <f>V28*((E8+E9)*E5+'Mini SWASH II - Náklady'!$K$9+'Mini SWASH II - Náklady'!$K$12+'Mini SWASH II - Náklady'!$K$5+'Mini SWASH II - Náklady'!$K$6+'Mini SWASH II - Náklady'!$K$10+'Mini SWASH II - Náklady'!$K$11)+(8*'Mini SWASH II - Kalkulace P1'!E7)*'Mini SWASH II - Náklady'!$C$14+E24+E10+E10*$R$28</f>
        <v>980171.73945468408</v>
      </c>
      <c r="W30" s="178">
        <f>W28*((F8+F9)*F5+'Mini SWASH II - Náklady'!$K$9+'Mini SWASH II - Náklady'!$K$12+'Mini SWASH II - Náklady'!$K$5+'Mini SWASH II - Náklady'!$K$6+'Mini SWASH II - Náklady'!$K$10+'Mini SWASH II - Náklady'!$K$11)+(8*'Mini SWASH II - Kalkulace P1'!F7)*'Mini SWASH II - Náklady'!$C$14+F24+F10+F10*$R$28</f>
        <v>1004439.547124204</v>
      </c>
      <c r="X30" s="178">
        <f>X28*((G8+G9)*G5+'Mini SWASH II - Náklady'!$K$9+'Mini SWASH II - Náklady'!$K$12+'Mini SWASH II - Náklady'!$K$5+'Mini SWASH II - Náklady'!$K$6+'Mini SWASH II - Náklady'!$K$10+'Mini SWASH II - Náklady'!$K$11)+(8*'Mini SWASH II - Kalkulace P1'!G7)*'Mini SWASH II - Náklady'!$C$14+G24+G10+G10*$R$28</f>
        <v>1036217.4101391338</v>
      </c>
      <c r="Y30" s="178">
        <f>Y28*((H8+H9)*H5+'Mini SWASH II - Náklady'!$K$9+'Mini SWASH II - Náklady'!$K$12+'Mini SWASH II - Náklady'!$K$5+'Mini SWASH II - Náklady'!$K$6+'Mini SWASH II - Náklady'!$K$10+'Mini SWASH II - Náklady'!$K$11)+(8*'Mini SWASH II - Kalkulace P1'!H7)*'Mini SWASH II - Náklady'!$C$14+H24+H10+H10*$R$28</f>
        <v>1072808.7322951581</v>
      </c>
      <c r="Z30" s="178">
        <f>Z28*((I8+I9)*I5+'Mini SWASH II - Náklady'!$K$9+'Mini SWASH II - Náklady'!$K$12+'Mini SWASH II - Náklady'!$K$5+'Mini SWASH II - Náklady'!$K$6+'Mini SWASH II - Náklady'!$K$10+'Mini SWASH II - Náklady'!$K$11)+(8*'Mini SWASH II - Kalkulace P1'!I7)*'Mini SWASH II - Náklady'!$C$14+I24+I10+I10*$R$28</f>
        <v>1107133.8964714759</v>
      </c>
      <c r="AA30" s="178">
        <f>AA28*((J8+J9)*J5+'Mini SWASH II - Náklady'!$K$9+'Mini SWASH II - Náklady'!$K$12+'Mini SWASH II - Náklady'!$K$5+'Mini SWASH II - Náklady'!$K$6+'Mini SWASH II - Náklady'!$K$10+'Mini SWASH II - Náklady'!$K$11)+(8*'Mini SWASH II - Kalkulace P1'!J7)*'Mini SWASH II - Náklady'!$C$14+J24+J10+J10*$R$28</f>
        <v>1136159.1084131591</v>
      </c>
      <c r="AB30" s="178">
        <f>AB28*((K8+K9)*K5+'Mini SWASH II - Náklady'!$K$9+'Mini SWASH II - Náklady'!$K$12+'Mini SWASH II - Náklady'!$K$5+'Mini SWASH II - Náklady'!$K$6+'Mini SWASH II - Náklady'!$K$10+'Mini SWASH II - Náklady'!$K$11)+(8*'Mini SWASH II - Kalkulace P1'!K7)*'Mini SWASH II - Náklady'!$C$14+K24+K10+K10*$R$28</f>
        <v>1166015.3271267954</v>
      </c>
      <c r="AC30" s="178">
        <f>AC28*((L8+L9)*L5+'Mini SWASH II - Náklady'!$K$9+'Mini SWASH II - Náklady'!$K$12+'Mini SWASH II - Náklady'!$K$5+'Mini SWASH II - Náklady'!$K$6+'Mini SWASH II - Náklady'!$K$10+'Mini SWASH II - Náklady'!$K$11)+(8*'Mini SWASH II - Kalkulace P1'!L7)*'Mini SWASH II - Náklady'!$C$14+L24+L10+L10*$R$28</f>
        <v>1192615.282812482</v>
      </c>
      <c r="AD30" s="178">
        <f>AD28*((M8+M9)*M5+'Mini SWASH II - Náklady'!$K$9+'Mini SWASH II - Náklady'!$K$12+'Mini SWASH II - Náklady'!$K$5+'Mini SWASH II - Náklady'!$K$6+'Mini SWASH II - Náklady'!$K$10+'Mini SWASH II - Náklady'!$K$11)+(8*'Mini SWASH II - Kalkulace P1'!M7)*'Mini SWASH II - Náklady'!$C$14+M24+M10+M10*$R$28</f>
        <v>1224115.935478104</v>
      </c>
      <c r="AE30" s="160">
        <f t="shared" si="13"/>
        <v>1861605.0000000093</v>
      </c>
    </row>
    <row r="31" spans="2:31" x14ac:dyDescent="0.25">
      <c r="B31" s="126" t="s">
        <v>100</v>
      </c>
      <c r="C31" s="127"/>
      <c r="D31" s="127">
        <f>D30/(1+$C$47)^D4</f>
        <v>-109450.59166665284</v>
      </c>
      <c r="E31" s="127">
        <f t="shared" ref="E31:M31" si="24">E30/(1+$C$47)^E4</f>
        <v>-34635.075913139823</v>
      </c>
      <c r="F31" s="127">
        <f t="shared" si="24"/>
        <v>52871.388455328015</v>
      </c>
      <c r="G31" s="127">
        <f t="shared" si="24"/>
        <v>137082.99753550158</v>
      </c>
      <c r="H31" s="127">
        <f t="shared" si="24"/>
        <v>220409.85417513584</v>
      </c>
      <c r="I31" s="127">
        <f t="shared" si="24"/>
        <v>311368.56046481343</v>
      </c>
      <c r="J31" s="127">
        <f t="shared" si="24"/>
        <v>268776.91882950696</v>
      </c>
      <c r="K31" s="127">
        <f t="shared" si="24"/>
        <v>230284.92626390161</v>
      </c>
      <c r="L31" s="127">
        <f t="shared" si="24"/>
        <v>199601.73115357276</v>
      </c>
      <c r="M31" s="128">
        <f t="shared" si="24"/>
        <v>168070.41070203282</v>
      </c>
      <c r="N31" s="71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</row>
    <row r="32" spans="2:31" ht="14.4" thickBot="1" x14ac:dyDescent="0.3">
      <c r="B32" s="116" t="s">
        <v>101</v>
      </c>
      <c r="C32" s="120"/>
      <c r="D32" s="120">
        <f>+D31</f>
        <v>-109450.59166665284</v>
      </c>
      <c r="E32" s="120">
        <f>D32+E31</f>
        <v>-144085.66757979267</v>
      </c>
      <c r="F32" s="120">
        <f t="shared" ref="F32:M32" si="25">E32+F31</f>
        <v>-91214.279124464665</v>
      </c>
      <c r="G32" s="120">
        <f t="shared" si="25"/>
        <v>45868.718411036913</v>
      </c>
      <c r="H32" s="120">
        <f t="shared" si="25"/>
        <v>266278.57258617273</v>
      </c>
      <c r="I32" s="120">
        <f t="shared" si="25"/>
        <v>577647.1330509861</v>
      </c>
      <c r="J32" s="120">
        <f t="shared" si="25"/>
        <v>846424.05188049306</v>
      </c>
      <c r="K32" s="120">
        <f t="shared" si="25"/>
        <v>1076708.9781443947</v>
      </c>
      <c r="L32" s="120">
        <f t="shared" si="25"/>
        <v>1276310.7092979674</v>
      </c>
      <c r="M32" s="121">
        <f t="shared" si="25"/>
        <v>1444381.12</v>
      </c>
      <c r="N32" s="71"/>
    </row>
    <row r="33" spans="2:14" ht="14.4" thickBot="1" x14ac:dyDescent="0.3"/>
    <row r="34" spans="2:14" ht="14.4" thickBot="1" x14ac:dyDescent="0.3">
      <c r="B34" s="88" t="s">
        <v>81</v>
      </c>
      <c r="C34" s="89" t="s">
        <v>79</v>
      </c>
      <c r="D34" s="90">
        <f t="shared" ref="D34:M34" si="26">D15-D26</f>
        <v>-187648.03899998509</v>
      </c>
      <c r="E34" s="90">
        <f t="shared" si="26"/>
        <v>-109839.75254508632</v>
      </c>
      <c r="F34" s="90">
        <f t="shared" si="26"/>
        <v>-2838.6775061618537</v>
      </c>
      <c r="G34" s="90">
        <f t="shared" si="26"/>
        <v>117058.50475075725</v>
      </c>
      <c r="H34" s="90">
        <f t="shared" si="26"/>
        <v>254412.98714292096</v>
      </c>
      <c r="I34" s="90">
        <f t="shared" si="26"/>
        <v>424661.37357364898</v>
      </c>
      <c r="J34" s="90">
        <f t="shared" si="26"/>
        <v>391195.00637779245</v>
      </c>
      <c r="K34" s="90">
        <f t="shared" si="26"/>
        <v>356799.92699439125</v>
      </c>
      <c r="L34" s="90">
        <f t="shared" si="26"/>
        <v>329563.38415404712</v>
      </c>
      <c r="M34" s="91">
        <f t="shared" si="26"/>
        <v>293410.01096652262</v>
      </c>
      <c r="N34" s="54"/>
    </row>
    <row r="35" spans="2:14" ht="14.4" thickBot="1" x14ac:dyDescent="0.3">
      <c r="D35" s="54"/>
      <c r="E35" s="54"/>
      <c r="F35" s="54"/>
      <c r="G35" s="54"/>
      <c r="H35" s="54"/>
      <c r="I35" s="54"/>
      <c r="J35" s="54"/>
      <c r="K35" s="54"/>
      <c r="L35" s="54"/>
      <c r="M35" s="54"/>
    </row>
    <row r="36" spans="2:14" x14ac:dyDescent="0.25">
      <c r="B36" s="66" t="s">
        <v>83</v>
      </c>
      <c r="C36" s="78" t="s">
        <v>79</v>
      </c>
      <c r="D36" s="58">
        <f>D34+D24-D25</f>
        <v>-194592.1789999851</v>
      </c>
      <c r="E36" s="58">
        <f t="shared" ref="E36:F36" si="27">E34+E24-E25</f>
        <v>-194905.46754508634</v>
      </c>
      <c r="F36" s="58">
        <f t="shared" si="27"/>
        <v>-87904.392506161879</v>
      </c>
      <c r="G36" s="58">
        <f>G34+G24-G25</f>
        <v>31992.78975075722</v>
      </c>
      <c r="H36" s="58">
        <f t="shared" ref="H36:M36" si="28">H34+H24-H25</f>
        <v>169347.27214292096</v>
      </c>
      <c r="I36" s="58">
        <f t="shared" si="28"/>
        <v>494102.773573649</v>
      </c>
      <c r="J36" s="58">
        <f t="shared" si="28"/>
        <v>460636.40637779247</v>
      </c>
      <c r="K36" s="58">
        <f t="shared" si="28"/>
        <v>426241.32699439127</v>
      </c>
      <c r="L36" s="58">
        <f t="shared" si="28"/>
        <v>399004.78415404714</v>
      </c>
      <c r="M36" s="59">
        <f t="shared" si="28"/>
        <v>362851.41096652264</v>
      </c>
    </row>
    <row r="37" spans="2:14" x14ac:dyDescent="0.25">
      <c r="B37" s="48" t="s">
        <v>85</v>
      </c>
      <c r="C37" s="118"/>
      <c r="D37" s="118"/>
      <c r="E37" s="46">
        <v>0</v>
      </c>
      <c r="F37" s="46">
        <v>0</v>
      </c>
      <c r="G37" s="46">
        <f>G36</f>
        <v>31992.78975075722</v>
      </c>
      <c r="H37" s="46">
        <f>G38</f>
        <v>162599.38924922788</v>
      </c>
      <c r="I37" s="46">
        <f>H38</f>
        <v>0</v>
      </c>
      <c r="J37" s="46">
        <f t="shared" ref="J37:M37" si="29">I38</f>
        <v>0</v>
      </c>
      <c r="K37" s="46">
        <f t="shared" si="29"/>
        <v>0</v>
      </c>
      <c r="L37" s="46">
        <f t="shared" si="29"/>
        <v>0</v>
      </c>
      <c r="M37" s="49">
        <f t="shared" si="29"/>
        <v>0</v>
      </c>
    </row>
    <row r="38" spans="2:14" x14ac:dyDescent="0.25">
      <c r="B38" s="69" t="s">
        <v>91</v>
      </c>
      <c r="C38" s="119"/>
      <c r="D38" s="119"/>
      <c r="E38" s="63">
        <f>ABS(D36-E37)</f>
        <v>194592.1789999851</v>
      </c>
      <c r="F38" s="63">
        <f>E38-F37</f>
        <v>194592.1789999851</v>
      </c>
      <c r="G38" s="63">
        <f>F38-G37</f>
        <v>162599.38924922788</v>
      </c>
      <c r="H38" s="63">
        <f>G38-H37</f>
        <v>0</v>
      </c>
      <c r="I38" s="63">
        <f>H38-I37</f>
        <v>0</v>
      </c>
      <c r="J38" s="63">
        <f t="shared" ref="J38:M38" si="30">I38-J37</f>
        <v>0</v>
      </c>
      <c r="K38" s="63">
        <f t="shared" si="30"/>
        <v>0</v>
      </c>
      <c r="L38" s="63">
        <f t="shared" si="30"/>
        <v>0</v>
      </c>
      <c r="M38" s="70">
        <f t="shared" si="30"/>
        <v>0</v>
      </c>
    </row>
    <row r="39" spans="2:14" x14ac:dyDescent="0.25">
      <c r="B39" s="48" t="s">
        <v>98</v>
      </c>
      <c r="C39" s="118"/>
      <c r="D39" s="118"/>
      <c r="E39" s="46">
        <v>0</v>
      </c>
      <c r="F39" s="46">
        <v>0</v>
      </c>
      <c r="G39" s="46">
        <v>0</v>
      </c>
      <c r="H39" s="46">
        <f>H36-H37</f>
        <v>6747.8828936930804</v>
      </c>
      <c r="I39" s="46">
        <f>H40</f>
        <v>276061.97715755517</v>
      </c>
      <c r="J39" s="46">
        <f t="shared" ref="J39:M39" si="31">I40</f>
        <v>0</v>
      </c>
      <c r="K39" s="46">
        <f t="shared" si="31"/>
        <v>0</v>
      </c>
      <c r="L39" s="46">
        <f t="shared" si="31"/>
        <v>0</v>
      </c>
      <c r="M39" s="49">
        <f t="shared" si="31"/>
        <v>0</v>
      </c>
    </row>
    <row r="40" spans="2:14" x14ac:dyDescent="0.25">
      <c r="B40" s="69" t="s">
        <v>99</v>
      </c>
      <c r="C40" s="119"/>
      <c r="D40" s="119"/>
      <c r="E40" s="63">
        <f>ABS(E36-E39)</f>
        <v>194905.46754508634</v>
      </c>
      <c r="F40" s="63">
        <f>E40+ABS(F36)</f>
        <v>282809.86005124822</v>
      </c>
      <c r="G40" s="63">
        <f>F40-G39</f>
        <v>282809.86005124822</v>
      </c>
      <c r="H40" s="63">
        <f>G40-H39</f>
        <v>276061.97715755517</v>
      </c>
      <c r="I40" s="63">
        <f>H40-I39</f>
        <v>0</v>
      </c>
      <c r="J40" s="63">
        <f t="shared" ref="J40:M40" si="32">I40-J39</f>
        <v>0</v>
      </c>
      <c r="K40" s="63">
        <f t="shared" si="32"/>
        <v>0</v>
      </c>
      <c r="L40" s="63">
        <f t="shared" si="32"/>
        <v>0</v>
      </c>
      <c r="M40" s="70">
        <f t="shared" si="32"/>
        <v>0</v>
      </c>
    </row>
    <row r="41" spans="2:14" x14ac:dyDescent="0.25">
      <c r="B41" s="32" t="s">
        <v>84</v>
      </c>
      <c r="C41" s="85"/>
      <c r="D41" s="67"/>
      <c r="E41" s="85"/>
      <c r="F41" s="85"/>
      <c r="G41" s="85"/>
      <c r="H41" s="85"/>
      <c r="I41" s="67">
        <f>I36-I39</f>
        <v>218040.79641609383</v>
      </c>
      <c r="J41" s="67">
        <f>J36+J39</f>
        <v>460636.40637779247</v>
      </c>
      <c r="K41" s="67">
        <f>K36+K39</f>
        <v>426241.32699439127</v>
      </c>
      <c r="L41" s="67">
        <f>L36+L39</f>
        <v>399004.78415404714</v>
      </c>
      <c r="M41" s="68">
        <f>M36+M39</f>
        <v>362851.41096652264</v>
      </c>
    </row>
    <row r="42" spans="2:14" x14ac:dyDescent="0.25">
      <c r="B42" s="107" t="s">
        <v>86</v>
      </c>
      <c r="C42" s="108" t="s">
        <v>79</v>
      </c>
      <c r="D42" s="109">
        <v>0</v>
      </c>
      <c r="E42" s="109">
        <v>0</v>
      </c>
      <c r="F42" s="109">
        <v>0</v>
      </c>
      <c r="G42" s="109">
        <v>0</v>
      </c>
      <c r="H42" s="109">
        <v>0</v>
      </c>
      <c r="I42" s="110">
        <f>I41*0.19</f>
        <v>41427.751319057825</v>
      </c>
      <c r="J42" s="110">
        <f t="shared" ref="J42:M42" si="33">J41*0.19</f>
        <v>87520.917211780572</v>
      </c>
      <c r="K42" s="110">
        <f t="shared" si="33"/>
        <v>80985.852128934348</v>
      </c>
      <c r="L42" s="110">
        <f t="shared" si="33"/>
        <v>75810.908989268952</v>
      </c>
      <c r="M42" s="111">
        <f t="shared" si="33"/>
        <v>68941.768083639297</v>
      </c>
      <c r="N42" s="54"/>
    </row>
    <row r="43" spans="2:14" ht="14.4" thickBot="1" x14ac:dyDescent="0.3">
      <c r="B43" s="103" t="s">
        <v>87</v>
      </c>
      <c r="C43" s="104" t="s">
        <v>79</v>
      </c>
      <c r="D43" s="105">
        <f t="shared" ref="D43:M43" si="34">D36-D42</f>
        <v>-194592.1789999851</v>
      </c>
      <c r="E43" s="105">
        <f t="shared" si="34"/>
        <v>-194905.46754508634</v>
      </c>
      <c r="F43" s="105">
        <f t="shared" si="34"/>
        <v>-87904.392506161879</v>
      </c>
      <c r="G43" s="105">
        <f t="shared" si="34"/>
        <v>31992.78975075722</v>
      </c>
      <c r="H43" s="105">
        <f t="shared" si="34"/>
        <v>169347.27214292096</v>
      </c>
      <c r="I43" s="105">
        <f t="shared" si="34"/>
        <v>452675.02225459117</v>
      </c>
      <c r="J43" s="105">
        <f t="shared" si="34"/>
        <v>373115.48916601192</v>
      </c>
      <c r="K43" s="105">
        <f t="shared" si="34"/>
        <v>345255.47486545693</v>
      </c>
      <c r="L43" s="105">
        <f t="shared" si="34"/>
        <v>323193.8751647782</v>
      </c>
      <c r="M43" s="106">
        <f t="shared" si="34"/>
        <v>293909.64288288332</v>
      </c>
    </row>
    <row r="44" spans="2:14" ht="14.4" thickBot="1" x14ac:dyDescent="0.3">
      <c r="N44" s="54"/>
    </row>
    <row r="45" spans="2:14" ht="17.399999999999999" customHeight="1" x14ac:dyDescent="0.25">
      <c r="B45" s="112" t="s">
        <v>88</v>
      </c>
      <c r="C45" s="113">
        <f>SUM(D43:M43)</f>
        <v>1512087.5271761662</v>
      </c>
    </row>
    <row r="46" spans="2:14" ht="16.8" customHeight="1" x14ac:dyDescent="0.25">
      <c r="B46" s="114" t="s">
        <v>89</v>
      </c>
      <c r="C46" s="115">
        <f>NPV(C47,C30:M30)</f>
        <v>694414.00000000023</v>
      </c>
    </row>
    <row r="47" spans="2:14" ht="14.4" thickBot="1" x14ac:dyDescent="0.3">
      <c r="B47" s="116" t="s">
        <v>90</v>
      </c>
      <c r="C47" s="117">
        <v>0.08</v>
      </c>
    </row>
    <row r="48" spans="2:14" x14ac:dyDescent="0.25">
      <c r="N48" s="54"/>
    </row>
    <row r="55" spans="4:13" x14ac:dyDescent="0.25">
      <c r="D55" s="122"/>
      <c r="E55" s="122"/>
      <c r="F55" s="122"/>
      <c r="G55" s="122"/>
      <c r="H55" s="122"/>
      <c r="I55" s="122"/>
      <c r="J55" s="122"/>
      <c r="K55" s="122"/>
      <c r="L55" s="122"/>
      <c r="M55" s="122"/>
    </row>
    <row r="62" spans="4:13" x14ac:dyDescent="0.25">
      <c r="D62" s="54"/>
    </row>
    <row r="111" spans="12:26" x14ac:dyDescent="0.25">
      <c r="L111" s="179"/>
      <c r="M111" s="179"/>
      <c r="N111" s="179"/>
      <c r="O111" s="179"/>
      <c r="P111" s="179"/>
      <c r="Q111" s="179"/>
      <c r="R111" s="14"/>
      <c r="S111" s="14"/>
      <c r="T111" s="179"/>
      <c r="U111" s="14"/>
      <c r="V111" s="14"/>
      <c r="W111" s="179"/>
      <c r="X111" s="14"/>
      <c r="Y111" s="14"/>
      <c r="Z111" s="179"/>
    </row>
    <row r="112" spans="12:26" x14ac:dyDescent="0.25">
      <c r="L112" s="180"/>
      <c r="M112" s="180"/>
      <c r="N112" s="180"/>
      <c r="O112" s="181"/>
      <c r="P112" s="180"/>
      <c r="Q112" s="180"/>
      <c r="R112" s="14"/>
      <c r="S112" s="182"/>
      <c r="T112" s="180"/>
      <c r="U112" s="14"/>
      <c r="V112" s="182"/>
      <c r="W112" s="181"/>
      <c r="X112" s="14"/>
      <c r="Y112" s="182"/>
      <c r="Z112" s="180"/>
    </row>
    <row r="113" spans="12:26" x14ac:dyDescent="0.25"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</sheetData>
  <scenarios current="0" show="0" sqref="N27">
    <scenario name="Změna ceny" locked="1" count="1" user="Denis Froš" comment="Autor: Denis Froš dne 03.04.2017_x000a_Autor změny: Denis Froš dne 03.04.2017">
      <inputCells r="D12" val="609,2" numFmtId="168"/>
    </scenario>
  </scenarios>
  <mergeCells count="5">
    <mergeCell ref="I1:L1"/>
    <mergeCell ref="B6:M6"/>
    <mergeCell ref="E1:F1"/>
    <mergeCell ref="B3:B4"/>
    <mergeCell ref="U12:AD12"/>
  </mergeCells>
  <pageMargins left="0.7" right="0.7" top="0.78740157499999996" bottom="0.78740157499999996" header="0.3" footer="0.3"/>
  <pageSetup paperSize="9"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78FFF"/>
    <pageSetUpPr fitToPage="1"/>
  </sheetPr>
  <dimension ref="A1:AM78"/>
  <sheetViews>
    <sheetView tabSelected="1" topLeftCell="O15" zoomScale="75" zoomScaleNormal="75" workbookViewId="0">
      <selection activeCell="T24" sqref="T24"/>
    </sheetView>
  </sheetViews>
  <sheetFormatPr defaultRowHeight="13.8" x14ac:dyDescent="0.25"/>
  <cols>
    <col min="1" max="1" width="8.88671875" style="1"/>
    <col min="2" max="2" width="33.21875" style="1" customWidth="1"/>
    <col min="3" max="4" width="15.44140625" style="1" bestFit="1" customWidth="1"/>
    <col min="5" max="5" width="12.33203125" style="1" customWidth="1"/>
    <col min="6" max="9" width="12" style="1" customWidth="1"/>
    <col min="10" max="11" width="15.44140625" style="1" bestFit="1" customWidth="1"/>
    <col min="12" max="12" width="13.33203125" style="1" customWidth="1"/>
    <col min="13" max="13" width="13.44140625" style="1" bestFit="1" customWidth="1"/>
    <col min="14" max="14" width="12.5546875" style="1" bestFit="1" customWidth="1"/>
    <col min="15" max="15" width="8.88671875" style="1"/>
    <col min="16" max="16" width="9.109375" style="1" bestFit="1" customWidth="1"/>
    <col min="17" max="17" width="12.88671875" style="1" bestFit="1" customWidth="1"/>
    <col min="18" max="18" width="8.88671875" style="1"/>
    <col min="19" max="19" width="10.77734375" style="1" bestFit="1" customWidth="1"/>
    <col min="20" max="20" width="9.109375" style="1" customWidth="1"/>
    <col min="21" max="21" width="12.33203125" style="1" bestFit="1" customWidth="1"/>
    <col min="22" max="23" width="8.88671875" style="1"/>
    <col min="24" max="24" width="13.33203125" style="1" bestFit="1" customWidth="1"/>
    <col min="25" max="25" width="14.44140625" style="1" customWidth="1"/>
    <col min="26" max="26" width="11.77734375" style="1" bestFit="1" customWidth="1"/>
    <col min="27" max="35" width="13.44140625" style="1" bestFit="1" customWidth="1"/>
    <col min="36" max="36" width="29.21875" style="1" bestFit="1" customWidth="1"/>
    <col min="37" max="16384" width="8.88671875" style="1"/>
  </cols>
  <sheetData>
    <row r="1" spans="2:39" ht="15" customHeight="1" thickBot="1" x14ac:dyDescent="0.3">
      <c r="B1" s="55" t="s">
        <v>58</v>
      </c>
      <c r="C1" s="56">
        <v>0.02</v>
      </c>
      <c r="E1" s="337" t="s">
        <v>57</v>
      </c>
      <c r="F1" s="338"/>
      <c r="G1" s="45">
        <v>0.03</v>
      </c>
      <c r="I1" s="337" t="s">
        <v>73</v>
      </c>
      <c r="J1" s="338"/>
      <c r="K1" s="338"/>
      <c r="L1" s="338"/>
      <c r="M1" s="57">
        <v>0.18</v>
      </c>
    </row>
    <row r="2" spans="2:39" ht="14.4" thickBot="1" x14ac:dyDescent="0.3"/>
    <row r="3" spans="2:39" ht="21.6" customHeight="1" thickBot="1" x14ac:dyDescent="0.35">
      <c r="B3" s="348" t="s">
        <v>54</v>
      </c>
      <c r="C3" s="96">
        <v>2015</v>
      </c>
      <c r="D3" s="97">
        <v>2016</v>
      </c>
      <c r="E3" s="97">
        <v>2017</v>
      </c>
      <c r="F3" s="97">
        <v>2018</v>
      </c>
      <c r="G3" s="97">
        <v>2019</v>
      </c>
      <c r="H3" s="97">
        <v>2020</v>
      </c>
      <c r="I3" s="97">
        <v>2021</v>
      </c>
      <c r="J3" s="97">
        <v>2022</v>
      </c>
      <c r="K3" s="97">
        <v>2023</v>
      </c>
      <c r="L3" s="97">
        <v>2024</v>
      </c>
      <c r="M3" s="98">
        <v>2025</v>
      </c>
    </row>
    <row r="4" spans="2:39" ht="15" customHeight="1" thickBot="1" x14ac:dyDescent="0.3">
      <c r="B4" s="349"/>
      <c r="C4" s="199">
        <v>0</v>
      </c>
      <c r="D4" s="200">
        <v>1</v>
      </c>
      <c r="E4" s="200">
        <v>2</v>
      </c>
      <c r="F4" s="200">
        <v>3</v>
      </c>
      <c r="G4" s="200">
        <v>4</v>
      </c>
      <c r="H4" s="200">
        <v>5</v>
      </c>
      <c r="I4" s="200">
        <v>6</v>
      </c>
      <c r="J4" s="200">
        <v>7</v>
      </c>
      <c r="K4" s="200">
        <v>8</v>
      </c>
      <c r="L4" s="200">
        <v>9</v>
      </c>
      <c r="M4" s="201">
        <v>10</v>
      </c>
    </row>
    <row r="5" spans="2:39" ht="19.8" customHeight="1" thickBot="1" x14ac:dyDescent="0.3">
      <c r="B5" s="51" t="s">
        <v>74</v>
      </c>
      <c r="C5" s="77" t="s">
        <v>79</v>
      </c>
      <c r="D5" s="52">
        <f>'Mini SWASH II - Náklady'!G1</f>
        <v>27.02</v>
      </c>
      <c r="E5" s="52">
        <f>D5</f>
        <v>27.02</v>
      </c>
      <c r="F5" s="52">
        <v>26</v>
      </c>
      <c r="G5" s="52">
        <v>26</v>
      </c>
      <c r="H5" s="52">
        <v>26</v>
      </c>
      <c r="I5" s="52">
        <v>26</v>
      </c>
      <c r="J5" s="52">
        <v>26</v>
      </c>
      <c r="K5" s="52">
        <v>26</v>
      </c>
      <c r="L5" s="52">
        <v>26</v>
      </c>
      <c r="M5" s="53">
        <v>26</v>
      </c>
      <c r="S5" s="85"/>
      <c r="T5" s="85"/>
      <c r="U5" s="85"/>
    </row>
    <row r="6" spans="2:39" ht="25.8" customHeight="1" thickBot="1" x14ac:dyDescent="0.3">
      <c r="B6" s="339" t="s">
        <v>75</v>
      </c>
      <c r="C6" s="340"/>
      <c r="D6" s="340"/>
      <c r="E6" s="340"/>
      <c r="F6" s="340"/>
      <c r="G6" s="340"/>
      <c r="H6" s="340"/>
      <c r="I6" s="340"/>
      <c r="J6" s="340"/>
      <c r="K6" s="340"/>
      <c r="L6" s="340"/>
      <c r="M6" s="341"/>
      <c r="P6" s="345" t="s">
        <v>117</v>
      </c>
      <c r="Q6" s="346"/>
      <c r="S6" s="345" t="s">
        <v>120</v>
      </c>
      <c r="T6" s="347"/>
      <c r="U6" s="346"/>
      <c r="V6" s="191"/>
    </row>
    <row r="7" spans="2:39" ht="14.4" thickBot="1" x14ac:dyDescent="0.3">
      <c r="B7" s="48" t="s">
        <v>68</v>
      </c>
      <c r="C7" s="73" t="s">
        <v>79</v>
      </c>
      <c r="D7" s="46">
        <f>'Mini SWASH II - Náklady'!K13</f>
        <v>345.85599999999999</v>
      </c>
      <c r="E7" s="46">
        <f>D7+D7*'Mini SWASH II - Kalkulace P1'!$G$1</f>
        <v>356.23167999999998</v>
      </c>
      <c r="F7" s="46">
        <f>E7+E7*'Mini SWASH II - Kalkulace P1'!$G$1</f>
        <v>366.91863039999998</v>
      </c>
      <c r="G7" s="46">
        <f>F7+F7*'Mini SWASH II - Kalkulace P1'!$G$1</f>
        <v>377.92618931199996</v>
      </c>
      <c r="H7" s="46">
        <f>G7+G7*'Mini SWASH II - Kalkulace P1'!$G$1</f>
        <v>389.26397499135999</v>
      </c>
      <c r="I7" s="46">
        <f>H7+H7*'Mini SWASH II - Kalkulace P1'!$G$1</f>
        <v>400.94189424110078</v>
      </c>
      <c r="J7" s="46">
        <f>I7+I7*'Mini SWASH II - Kalkulace P1'!$G$1</f>
        <v>412.97015106833379</v>
      </c>
      <c r="K7" s="46">
        <f>J7+J7*'Mini SWASH II - Kalkulace P1'!$G$1</f>
        <v>425.35925560038379</v>
      </c>
      <c r="L7" s="46">
        <f>K7+K7*'Mini SWASH II - Kalkulace P1'!$G$1</f>
        <v>438.12003326839533</v>
      </c>
      <c r="M7" s="49">
        <f>L7+L7*'Mini SWASH II - Kalkulace P1'!$G$1</f>
        <v>451.26363426644718</v>
      </c>
      <c r="P7" s="189" t="s">
        <v>118</v>
      </c>
      <c r="Q7" s="190" t="s">
        <v>119</v>
      </c>
      <c r="S7" s="363" t="s">
        <v>118</v>
      </c>
      <c r="T7" s="364"/>
      <c r="U7" s="365" t="s">
        <v>121</v>
      </c>
      <c r="X7" s="139" t="s">
        <v>109</v>
      </c>
      <c r="Y7" s="141"/>
      <c r="Z7" s="357" t="s">
        <v>154</v>
      </c>
      <c r="AA7" s="357"/>
      <c r="AB7" s="357"/>
      <c r="AC7" s="357"/>
      <c r="AD7" s="357"/>
      <c r="AE7" s="357"/>
      <c r="AF7" s="357"/>
      <c r="AG7" s="357"/>
      <c r="AH7" s="357"/>
      <c r="AI7" s="357"/>
      <c r="AJ7" s="142" t="s">
        <v>153</v>
      </c>
    </row>
    <row r="8" spans="2:39" ht="14.4" customHeight="1" x14ac:dyDescent="0.25">
      <c r="B8" s="32" t="s">
        <v>69</v>
      </c>
      <c r="C8" s="74" t="s">
        <v>79</v>
      </c>
      <c r="D8" s="47">
        <f>'Mini SWASH II - Náklady'!J7+'Mini SWASH II - Náklady'!J8</f>
        <v>1.9836959999999999</v>
      </c>
      <c r="E8" s="47">
        <f>D8+(D8*'Mini SWASH II - Kalkulace P1'!$C$1)</f>
        <v>2.0273373119999998</v>
      </c>
      <c r="F8" s="47">
        <f>E8+(E8*'Mini SWASH II - Kalkulace P1'!$C$1)</f>
        <v>2.071938732864</v>
      </c>
      <c r="G8" s="47">
        <f>F8+(F8*'Mini SWASH II - Kalkulace P1'!$C$1)</f>
        <v>2.117521384987008</v>
      </c>
      <c r="H8" s="47">
        <f>G8+(G8*'Mini SWASH II - Kalkulace P1'!$C$1)</f>
        <v>2.1641068554567222</v>
      </c>
      <c r="I8" s="47">
        <f>H8+(H8*'Mini SWASH II - Kalkulace P1'!$C$1)</f>
        <v>2.21171720627677</v>
      </c>
      <c r="J8" s="47">
        <f>I8+(I8*'Mini SWASH II - Kalkulace P1'!$C$1)</f>
        <v>2.2603749848148591</v>
      </c>
      <c r="K8" s="47">
        <f>J8+(J8*'Mini SWASH II - Kalkulace P1'!$C$1)</f>
        <v>2.3101032344807861</v>
      </c>
      <c r="L8" s="47">
        <f>K8+(K8*'Mini SWASH II - Kalkulace P1'!$C$1)</f>
        <v>2.3609255056393632</v>
      </c>
      <c r="M8" s="50">
        <f>L8+(L8*'Mini SWASH II - Kalkulace P1'!$C$1)</f>
        <v>2.4128658667634291</v>
      </c>
      <c r="P8" s="185">
        <v>0</v>
      </c>
      <c r="Q8" s="184">
        <v>518</v>
      </c>
      <c r="S8" s="194">
        <v>518</v>
      </c>
      <c r="T8" s="195">
        <v>538</v>
      </c>
      <c r="U8" s="366"/>
      <c r="X8" s="358">
        <v>0.18</v>
      </c>
      <c r="Y8" s="225" t="s">
        <v>152</v>
      </c>
      <c r="Z8" s="226">
        <v>518.3056963011245</v>
      </c>
      <c r="AA8" s="227">
        <f>Z8+Z8*$C$1</f>
        <v>528.67181022714703</v>
      </c>
      <c r="AB8" s="227">
        <f t="shared" ref="AB8" si="0">AA8+AA8*$C$1</f>
        <v>539.24524643169002</v>
      </c>
      <c r="AC8" s="227">
        <f t="shared" ref="AC8" si="1">AB8+AB8*$C$1</f>
        <v>550.03015136032377</v>
      </c>
      <c r="AD8" s="227">
        <f t="shared" ref="AD8" si="2">AC8+AC8*$C$1</f>
        <v>561.03075438753024</v>
      </c>
      <c r="AE8" s="227">
        <f t="shared" ref="AE8" si="3">AD8+AD8*$C$1</f>
        <v>572.25136947528085</v>
      </c>
      <c r="AF8" s="227">
        <f t="shared" ref="AF8" si="4">AE8+AE8*$C$1</f>
        <v>583.69639686478649</v>
      </c>
      <c r="AG8" s="227">
        <f t="shared" ref="AG8" si="5">AF8+AF8*$C$1</f>
        <v>595.37032480208222</v>
      </c>
      <c r="AH8" s="227">
        <f t="shared" ref="AH8" si="6">AG8+AG8*$C$1</f>
        <v>607.27773129812385</v>
      </c>
      <c r="AI8" s="228">
        <f t="shared" ref="AI8" si="7">AH8+AH8*$C$1</f>
        <v>619.42328592408637</v>
      </c>
      <c r="AJ8" s="373">
        <f>SUM(Z10:AI10)-SUM(Z11:AI11)</f>
        <v>1106644.1203106716</v>
      </c>
      <c r="AL8" s="240">
        <f>X8</f>
        <v>0.18</v>
      </c>
      <c r="AM8" s="54">
        <f>Z8</f>
        <v>518.3056963011245</v>
      </c>
    </row>
    <row r="9" spans="2:39" x14ac:dyDescent="0.25">
      <c r="B9" s="32" t="s">
        <v>70</v>
      </c>
      <c r="C9" s="74" t="s">
        <v>79</v>
      </c>
      <c r="D9" s="47">
        <f>'Mini SWASH II - Náklady'!J14</f>
        <v>2.7839999999999998</v>
      </c>
      <c r="E9" s="47">
        <f>D9+(D9*'Mini SWASH II - Kalkulace P1'!$C$1)</f>
        <v>2.8452479999999998</v>
      </c>
      <c r="F9" s="47">
        <f>E9+(E9*'Mini SWASH II - Kalkulace P1'!$C$1)</f>
        <v>2.9078434559999997</v>
      </c>
      <c r="G9" s="47">
        <f>F9+(F9*'Mini SWASH II - Kalkulace P1'!$C$1)</f>
        <v>2.9718160120319999</v>
      </c>
      <c r="H9" s="47">
        <f>G9+(G9*'Mini SWASH II - Kalkulace P1'!$C$1)</f>
        <v>3.0371959642967039</v>
      </c>
      <c r="I9" s="47">
        <f>H9+(H9*'Mini SWASH II - Kalkulace P1'!$C$1)</f>
        <v>3.1040142755112314</v>
      </c>
      <c r="J9" s="47">
        <f>I9+(I9*'Mini SWASH II - Kalkulace P1'!$C$1)</f>
        <v>3.1723025895724786</v>
      </c>
      <c r="K9" s="47">
        <f>J9+(J9*'Mini SWASH II - Kalkulace P1'!$C$1)</f>
        <v>3.2420932465430732</v>
      </c>
      <c r="L9" s="47">
        <f>K9+(K9*'Mini SWASH II - Kalkulace P1'!$C$1)</f>
        <v>3.3134192979670209</v>
      </c>
      <c r="M9" s="50">
        <f>L9+(L9*'Mini SWASH II - Kalkulace P1'!$C$1)</f>
        <v>3.3863145225222953</v>
      </c>
      <c r="P9" s="185">
        <v>500</v>
      </c>
      <c r="Q9" s="186">
        <v>557</v>
      </c>
      <c r="S9" s="185">
        <v>410</v>
      </c>
      <c r="T9" s="196">
        <v>738</v>
      </c>
      <c r="U9" s="192">
        <v>0.04</v>
      </c>
      <c r="X9" s="359"/>
      <c r="Y9" s="150" t="s">
        <v>115</v>
      </c>
      <c r="Z9" s="229">
        <v>1250</v>
      </c>
      <c r="AA9" s="221">
        <v>1475</v>
      </c>
      <c r="AB9" s="221">
        <v>1740.5</v>
      </c>
      <c r="AC9" s="221">
        <v>2053.79</v>
      </c>
      <c r="AD9" s="221">
        <v>2423.4722000000002</v>
      </c>
      <c r="AE9" s="221">
        <v>2859.6971960000001</v>
      </c>
      <c r="AF9" s="221">
        <v>2859.6971960000001</v>
      </c>
      <c r="AG9" s="221">
        <v>2859.6971960000001</v>
      </c>
      <c r="AH9" s="221">
        <v>2859.6971960000001</v>
      </c>
      <c r="AI9" s="184">
        <v>2859.6971960000001</v>
      </c>
      <c r="AJ9" s="374"/>
      <c r="AL9" s="240">
        <f>X12</f>
        <v>0.15</v>
      </c>
      <c r="AM9" s="54">
        <f>Z12</f>
        <v>560.35973586359148</v>
      </c>
    </row>
    <row r="10" spans="2:39" ht="14.4" thickBot="1" x14ac:dyDescent="0.3">
      <c r="B10" s="37" t="s">
        <v>76</v>
      </c>
      <c r="C10" s="75" t="s">
        <v>79</v>
      </c>
      <c r="D10" s="64">
        <f>'Mini SWASH II - Náklady'!E29</f>
        <v>18914</v>
      </c>
      <c r="E10" s="64">
        <f>D10+D10*$C$1</f>
        <v>19292.28</v>
      </c>
      <c r="F10" s="64">
        <f t="shared" ref="F10:M10" si="8">E10+E10*$C$1</f>
        <v>19678.125599999999</v>
      </c>
      <c r="G10" s="64">
        <f t="shared" si="8"/>
        <v>20071.688112</v>
      </c>
      <c r="H10" s="64">
        <f t="shared" si="8"/>
        <v>20473.121874240001</v>
      </c>
      <c r="I10" s="64">
        <f t="shared" si="8"/>
        <v>20882.584311724801</v>
      </c>
      <c r="J10" s="64">
        <f t="shared" si="8"/>
        <v>21300.235997959295</v>
      </c>
      <c r="K10" s="64">
        <f t="shared" si="8"/>
        <v>21726.240717918481</v>
      </c>
      <c r="L10" s="64">
        <f t="shared" si="8"/>
        <v>22160.765532276851</v>
      </c>
      <c r="M10" s="65">
        <f t="shared" si="8"/>
        <v>22603.980842922389</v>
      </c>
      <c r="P10" s="187">
        <v>1000</v>
      </c>
      <c r="Q10" s="188">
        <v>597</v>
      </c>
      <c r="S10" s="185">
        <v>314</v>
      </c>
      <c r="T10" s="197">
        <v>624</v>
      </c>
      <c r="U10" s="192">
        <v>0.05</v>
      </c>
      <c r="X10" s="359"/>
      <c r="Y10" s="148" t="s">
        <v>111</v>
      </c>
      <c r="Z10" s="230">
        <f>Z8*Z9</f>
        <v>647882.12037640566</v>
      </c>
      <c r="AA10" s="222">
        <f t="shared" ref="AA10:AI10" si="9">AA8*AA9</f>
        <v>779790.9200850419</v>
      </c>
      <c r="AB10" s="222">
        <f t="shared" si="9"/>
        <v>938556.3514143565</v>
      </c>
      <c r="AC10" s="222">
        <f t="shared" si="9"/>
        <v>1129646.4245623194</v>
      </c>
      <c r="AD10" s="222">
        <f t="shared" si="9"/>
        <v>1359642.4366032076</v>
      </c>
      <c r="AE10" s="222">
        <f t="shared" si="9"/>
        <v>1636465.6366956206</v>
      </c>
      <c r="AF10" s="222">
        <f t="shared" si="9"/>
        <v>1669194.9494295332</v>
      </c>
      <c r="AG10" s="222">
        <f t="shared" si="9"/>
        <v>1702578.8484181238</v>
      </c>
      <c r="AH10" s="222">
        <f t="shared" si="9"/>
        <v>1736630.4253864863</v>
      </c>
      <c r="AI10" s="231">
        <f t="shared" si="9"/>
        <v>1771363.0338942162</v>
      </c>
      <c r="AJ10" s="374"/>
      <c r="AL10" s="240">
        <f>X16</f>
        <v>0.12</v>
      </c>
      <c r="AM10" s="54">
        <f>Z16</f>
        <v>607.27017613354826</v>
      </c>
    </row>
    <row r="11" spans="2:39" ht="14.4" thickBot="1" x14ac:dyDescent="0.3">
      <c r="S11" s="185">
        <v>225</v>
      </c>
      <c r="T11" s="197">
        <v>520</v>
      </c>
      <c r="U11" s="192">
        <v>0.06</v>
      </c>
      <c r="X11" s="360"/>
      <c r="Y11" s="149" t="s">
        <v>113</v>
      </c>
      <c r="Z11" s="232">
        <v>949426.09204520006</v>
      </c>
      <c r="AA11" s="223">
        <v>1008693.2180984401</v>
      </c>
      <c r="AB11" s="223">
        <v>1063447.2897306392</v>
      </c>
      <c r="AC11" s="223">
        <v>1134427.6188137475</v>
      </c>
      <c r="AD11" s="223">
        <v>1216012.7190143873</v>
      </c>
      <c r="AE11" s="223">
        <v>1310259.0529527324</v>
      </c>
      <c r="AF11" s="223">
        <v>1343503.5863372816</v>
      </c>
      <c r="AG11" s="223">
        <v>1377670.9659075472</v>
      </c>
      <c r="AH11" s="223">
        <v>1412787.2481297324</v>
      </c>
      <c r="AI11" s="233">
        <v>1448879.2355249315</v>
      </c>
      <c r="AJ11" s="375"/>
      <c r="AL11" s="240">
        <f>X20</f>
        <v>0.09</v>
      </c>
      <c r="AM11" s="54">
        <f>Z20</f>
        <v>659.82417070530994</v>
      </c>
    </row>
    <row r="12" spans="2:39" ht="14.4" customHeight="1" x14ac:dyDescent="0.25">
      <c r="B12" s="99" t="s">
        <v>71</v>
      </c>
      <c r="C12" s="100" t="s">
        <v>79</v>
      </c>
      <c r="D12" s="101">
        <v>518.30569630112404</v>
      </c>
      <c r="E12" s="101">
        <f>D12+D12*$C$1</f>
        <v>528.67181022714658</v>
      </c>
      <c r="F12" s="101">
        <f t="shared" ref="F12:M12" si="10">E12+E12*$C$1</f>
        <v>539.24524643168957</v>
      </c>
      <c r="G12" s="101">
        <f t="shared" si="10"/>
        <v>550.03015136032332</v>
      </c>
      <c r="H12" s="101">
        <f t="shared" si="10"/>
        <v>561.03075438752978</v>
      </c>
      <c r="I12" s="101">
        <f t="shared" si="10"/>
        <v>572.2513694752804</v>
      </c>
      <c r="J12" s="101">
        <f t="shared" si="10"/>
        <v>583.69639686478604</v>
      </c>
      <c r="K12" s="101">
        <f t="shared" si="10"/>
        <v>595.37032480208177</v>
      </c>
      <c r="L12" s="101">
        <f t="shared" si="10"/>
        <v>607.2777312981234</v>
      </c>
      <c r="M12" s="102">
        <f t="shared" si="10"/>
        <v>619.42328592408592</v>
      </c>
      <c r="S12" s="185">
        <v>144</v>
      </c>
      <c r="T12" s="197">
        <v>423</v>
      </c>
      <c r="U12" s="192">
        <v>7.0000000000000007E-2</v>
      </c>
      <c r="X12" s="361">
        <v>0.15</v>
      </c>
      <c r="Y12" s="148" t="s">
        <v>152</v>
      </c>
      <c r="Z12" s="234">
        <v>560.35973586359148</v>
      </c>
      <c r="AA12" s="130">
        <f>Z12+Z12*$C$1</f>
        <v>571.5669305808633</v>
      </c>
      <c r="AB12" s="130">
        <f t="shared" ref="AB12" si="11">AA12+AA12*$C$1</f>
        <v>582.99826919248062</v>
      </c>
      <c r="AC12" s="130">
        <f t="shared" ref="AC12" si="12">AB12+AB12*$C$1</f>
        <v>594.65823457633019</v>
      </c>
      <c r="AD12" s="130">
        <f t="shared" ref="AD12" si="13">AC12+AC12*$C$1</f>
        <v>606.55139926785682</v>
      </c>
      <c r="AE12" s="130">
        <f t="shared" ref="AE12" si="14">AD12+AD12*$C$1</f>
        <v>618.68242725321397</v>
      </c>
      <c r="AF12" s="130">
        <f t="shared" ref="AF12" si="15">AE12+AE12*$C$1</f>
        <v>631.05607579827824</v>
      </c>
      <c r="AG12" s="130">
        <f t="shared" ref="AG12" si="16">AF12+AF12*$C$1</f>
        <v>643.67719731424381</v>
      </c>
      <c r="AH12" s="130">
        <f t="shared" ref="AH12" si="17">AG12+AG12*$C$1</f>
        <v>656.55074126052864</v>
      </c>
      <c r="AI12" s="235">
        <f t="shared" ref="AI12" si="18">AH12+AH12*$C$1</f>
        <v>669.68175608573927</v>
      </c>
      <c r="AJ12" s="376">
        <f>SUM(Z14:AI14)-SUM(Z15:AI15)</f>
        <v>1106644.0000000112</v>
      </c>
      <c r="AL12" s="240">
        <f>X24</f>
        <v>0.06</v>
      </c>
      <c r="AM12" s="54">
        <f>Z24</f>
        <v>718.6905651832991</v>
      </c>
    </row>
    <row r="13" spans="2:39" ht="14.4" thickBot="1" x14ac:dyDescent="0.3">
      <c r="B13" s="37" t="s">
        <v>53</v>
      </c>
      <c r="C13" s="75" t="s">
        <v>79</v>
      </c>
      <c r="D13" s="60">
        <v>1250</v>
      </c>
      <c r="E13" s="61">
        <f>D13+D13*$M$1</f>
        <v>1475</v>
      </c>
      <c r="F13" s="61">
        <f t="shared" ref="F13:H13" si="19">E13+E13*$M$1</f>
        <v>1740.5</v>
      </c>
      <c r="G13" s="61">
        <f t="shared" si="19"/>
        <v>2053.79</v>
      </c>
      <c r="H13" s="61">
        <f t="shared" si="19"/>
        <v>2423.4722000000002</v>
      </c>
      <c r="I13" s="61">
        <f>H13+H13*$M$1</f>
        <v>2859.6971960000001</v>
      </c>
      <c r="J13" s="61">
        <f>I13</f>
        <v>2859.6971960000001</v>
      </c>
      <c r="K13" s="61">
        <f t="shared" ref="K13:M13" si="20">J13</f>
        <v>2859.6971960000001</v>
      </c>
      <c r="L13" s="61">
        <f t="shared" si="20"/>
        <v>2859.6971960000001</v>
      </c>
      <c r="M13" s="62">
        <f t="shared" si="20"/>
        <v>2859.6971960000001</v>
      </c>
      <c r="S13" s="185">
        <v>68</v>
      </c>
      <c r="T13" s="197">
        <v>335</v>
      </c>
      <c r="U13" s="192">
        <v>0.08</v>
      </c>
      <c r="X13" s="359"/>
      <c r="Y13" s="150" t="s">
        <v>115</v>
      </c>
      <c r="Z13" s="236">
        <v>1250</v>
      </c>
      <c r="AA13" s="170">
        <f>Z13+Z13*$X$12</f>
        <v>1437.5</v>
      </c>
      <c r="AB13" s="170">
        <f>AA13+AA13*$X$12</f>
        <v>1653.125</v>
      </c>
      <c r="AC13" s="170">
        <f>AB13+AB13*$X$12</f>
        <v>1901.09375</v>
      </c>
      <c r="AD13" s="170">
        <f>AC13+AC13*$X$12</f>
        <v>2186.2578125</v>
      </c>
      <c r="AE13" s="170">
        <f>AD13+AD13*$X$12</f>
        <v>2514.1964843750002</v>
      </c>
      <c r="AF13" s="170">
        <f>AE13</f>
        <v>2514.1964843750002</v>
      </c>
      <c r="AG13" s="170">
        <f t="shared" ref="AG13:AI13" si="21">AF13</f>
        <v>2514.1964843750002</v>
      </c>
      <c r="AH13" s="170">
        <f t="shared" si="21"/>
        <v>2514.1964843750002</v>
      </c>
      <c r="AI13" s="237">
        <f t="shared" si="21"/>
        <v>2514.1964843750002</v>
      </c>
      <c r="AJ13" s="377"/>
      <c r="AL13" s="240">
        <f>X28</f>
        <v>0.03</v>
      </c>
      <c r="AM13" s="54">
        <f>Z28</f>
        <v>784.59716337115344</v>
      </c>
    </row>
    <row r="14" spans="2:39" ht="14.4" thickBot="1" x14ac:dyDescent="0.3">
      <c r="C14" s="76"/>
      <c r="S14" s="185">
        <v>0</v>
      </c>
      <c r="T14" s="197">
        <v>232.251</v>
      </c>
      <c r="U14" s="192">
        <v>0.09</v>
      </c>
      <c r="X14" s="359"/>
      <c r="Y14" s="148" t="s">
        <v>111</v>
      </c>
      <c r="Z14" s="230">
        <f>Z12*Z13</f>
        <v>700449.66982948931</v>
      </c>
      <c r="AA14" s="222">
        <f t="shared" ref="AA14:AI14" si="22">AA12*AA13</f>
        <v>821627.46270999103</v>
      </c>
      <c r="AB14" s="222">
        <f t="shared" si="22"/>
        <v>963769.01375881955</v>
      </c>
      <c r="AC14" s="222">
        <f t="shared" si="22"/>
        <v>1130501.0531390952</v>
      </c>
      <c r="AD14" s="222">
        <f t="shared" si="22"/>
        <v>1326077.7353321589</v>
      </c>
      <c r="AE14" s="222">
        <f t="shared" si="22"/>
        <v>1555489.1835446223</v>
      </c>
      <c r="AF14" s="222">
        <f t="shared" si="22"/>
        <v>1586598.9672155147</v>
      </c>
      <c r="AG14" s="222">
        <f t="shared" si="22"/>
        <v>1618330.9465598252</v>
      </c>
      <c r="AH14" s="222">
        <f t="shared" si="22"/>
        <v>1650697.5654910214</v>
      </c>
      <c r="AI14" s="231">
        <f t="shared" si="22"/>
        <v>1683711.516800842</v>
      </c>
      <c r="AJ14" s="377"/>
      <c r="AL14" s="240"/>
    </row>
    <row r="15" spans="2:39" ht="14.4" thickBot="1" x14ac:dyDescent="0.3">
      <c r="B15" s="88" t="s">
        <v>72</v>
      </c>
      <c r="C15" s="89" t="s">
        <v>79</v>
      </c>
      <c r="D15" s="90">
        <f>D13*$D$12</f>
        <v>647882.12037640507</v>
      </c>
      <c r="E15" s="90">
        <f>E13*E12</f>
        <v>779790.9200850412</v>
      </c>
      <c r="F15" s="90">
        <f t="shared" ref="F15:M15" si="23">F13*F12</f>
        <v>938556.35141435568</v>
      </c>
      <c r="G15" s="90">
        <f t="shared" si="23"/>
        <v>1129646.4245623185</v>
      </c>
      <c r="H15" s="90">
        <f t="shared" si="23"/>
        <v>1359642.4366032064</v>
      </c>
      <c r="I15" s="90">
        <f t="shared" si="23"/>
        <v>1636465.6366956194</v>
      </c>
      <c r="J15" s="90">
        <f t="shared" si="23"/>
        <v>1669194.9494295318</v>
      </c>
      <c r="K15" s="90">
        <f t="shared" si="23"/>
        <v>1702578.8484181226</v>
      </c>
      <c r="L15" s="90">
        <f t="shared" si="23"/>
        <v>1736630.4253864849</v>
      </c>
      <c r="M15" s="91">
        <f t="shared" si="23"/>
        <v>1771363.0338942148</v>
      </c>
      <c r="S15" s="185">
        <v>-63</v>
      </c>
      <c r="T15" s="197">
        <v>178</v>
      </c>
      <c r="U15" s="192">
        <v>0.1</v>
      </c>
      <c r="X15" s="360"/>
      <c r="Y15" s="149" t="s">
        <v>113</v>
      </c>
      <c r="Z15" s="232">
        <f>Z11</f>
        <v>949426.09204520006</v>
      </c>
      <c r="AA15" s="223">
        <f>AA13*((E9+E8)*E5+'Mini SWASH II - Náklady'!$K$9+'Mini SWASH II - Náklady'!$K$12+'Mini SWASH II - Náklady'!$K$5+'Mini SWASH II - Náklady'!$K$6+'Mini SWASH II - Náklady'!$K$10+'Mini SWASH II - Náklady'!$K$11)+(8*E7)*'Mini SWASH II - Náklady'!$C$14+E24+E10+E10*$X$12</f>
        <v>1003227.30282222</v>
      </c>
      <c r="AB15" s="223">
        <f>AB13*((F9+F8)*F5+'Mini SWASH II - Náklady'!$K$9+'Mini SWASH II - Náklady'!$K$12+'Mini SWASH II - Náklady'!$K$5+'Mini SWASH II - Náklady'!$K$6+'Mini SWASH II - Náklady'!$K$10+'Mini SWASH II - Náklady'!$K$11)+(8*F7)*'Mini SWASH II - Náklady'!$C$14+F24+F10+F10*$X$12</f>
        <v>1051306.7525034859</v>
      </c>
      <c r="AC15" s="223">
        <f>AC13*((G9+G8)*G5+'Mini SWASH II - Náklady'!$K$9+'Mini SWASH II - Náklady'!$K$12+'Mini SWASH II - Náklady'!$K$5+'Mini SWASH II - Náklady'!$K$6+'Mini SWASH II - Náklady'!$K$10+'Mini SWASH II - Náklady'!$K$11)+(8*G7)*'Mini SWASH II - Náklady'!$C$14+G24+G10+G10*$X$12</f>
        <v>1112999.3470648979</v>
      </c>
      <c r="AD15" s="223">
        <f>AD13*((H9+H8)*H5+'Mini SWASH II - Náklady'!$K$9+'Mini SWASH II - Náklady'!$K$12+'Mini SWASH II - Náklady'!$K$5+'Mini SWASH II - Náklady'!$K$6+'Mini SWASH II - Náklady'!$K$10+'Mini SWASH II - Náklady'!$K$11)+(8*H7)*'Mini SWASH II - Náklady'!$C$14+H24+H10+H10*$X$12</f>
        <v>1182194.4536017661</v>
      </c>
      <c r="AE15" s="223">
        <f>AE13*((I9+I8)*I5+'Mini SWASH II - Náklady'!$K$9+'Mini SWASH II - Náklady'!$K$12+'Mini SWASH II - Náklady'!$K$5+'Mini SWASH II - Náklady'!$K$6+'Mini SWASH II - Náklady'!$K$10+'Mini SWASH II - Náklady'!$K$11)+(8*I7)*'Mini SWASH II - Náklady'!$C$14+I24+I10+I10*$X$12</f>
        <v>1260103.4255586816</v>
      </c>
      <c r="AF15" s="223">
        <f>AF13*((J9+J8)*J5+'Mini SWASH II - Náklady'!$K$9+'Mini SWASH II - Náklady'!$K$12+'Mini SWASH II - Náklady'!$K$5+'Mini SWASH II - Náklady'!$K$6+'Mini SWASH II - Náklady'!$K$10+'Mini SWASH II - Náklady'!$K$11)+(8*J7)*'Mini SWASH II - Náklady'!$C$14+J24+J10+J10*$X$12</f>
        <v>1292284.900479058</v>
      </c>
      <c r="AG15" s="223">
        <f>AG13*((K9+K8)*K5+'Mini SWASH II - Náklady'!$K$9+'Mini SWASH II - Náklady'!$K$12+'Mini SWASH II - Náklady'!$K$5+'Mini SWASH II - Náklady'!$K$6+'Mini SWASH II - Náklady'!$K$10+'Mini SWASH II - Náklady'!$K$11)+(8*K7)*'Mini SWASH II - Náklady'!$C$14+K24+K10+K10*$X$12</f>
        <v>1325365.8593580402</v>
      </c>
      <c r="AH15" s="223">
        <f>AH13*((L9+L8)*L5+'Mini SWASH II - Náklady'!$K$9+'Mini SWASH II - Náklady'!$K$12+'Mini SWASH II - Náklady'!$K$5+'Mini SWASH II - Náklady'!$K$6+'Mini SWASH II - Náklady'!$K$10+'Mini SWASH II - Náklady'!$K$11)+(8*L7)*'Mini SWASH II - Náklady'!$C$14+L24+L10+L10*$X$12</f>
        <v>1359371.8451940168</v>
      </c>
      <c r="AI15" s="233">
        <f>AI13*((M9+M8)*M5+'Mini SWASH II - Náklady'!$K$9+'Mini SWASH II - Náklady'!$K$12+'Mini SWASH II - Náklady'!$K$5+'Mini SWASH II - Náklady'!$K$6+'Mini SWASH II - Náklady'!$K$10+'Mini SWASH II - Náklady'!$K$11)+(8*M7)*'Mini SWASH II - Náklady'!$C$14+M24+M10+M10*$X$12</f>
        <v>1394329.1357539999</v>
      </c>
      <c r="AJ15" s="378"/>
      <c r="AL15" s="240"/>
    </row>
    <row r="16" spans="2:39" ht="15" customHeight="1" thickBot="1" x14ac:dyDescent="0.3">
      <c r="C16" s="76"/>
      <c r="S16" s="185">
        <v>-122</v>
      </c>
      <c r="T16" s="197">
        <v>109</v>
      </c>
      <c r="U16" s="192">
        <v>0.11</v>
      </c>
      <c r="X16" s="361">
        <v>0.12</v>
      </c>
      <c r="Y16" s="148" t="s">
        <v>152</v>
      </c>
      <c r="Z16" s="234">
        <v>607.27017613354826</v>
      </c>
      <c r="AA16" s="130">
        <f>Z16+Z16*$C$1</f>
        <v>619.41557965621928</v>
      </c>
      <c r="AB16" s="130">
        <f t="shared" ref="AB16" si="24">AA16+AA16*$C$1</f>
        <v>631.80389124934368</v>
      </c>
      <c r="AC16" s="130">
        <f t="shared" ref="AC16" si="25">AB16+AB16*$C$1</f>
        <v>644.43996907433052</v>
      </c>
      <c r="AD16" s="130">
        <f t="shared" ref="AD16" si="26">AC16+AC16*$C$1</f>
        <v>657.32876845581711</v>
      </c>
      <c r="AE16" s="130">
        <f t="shared" ref="AE16" si="27">AD16+AD16*$C$1</f>
        <v>670.47534382493347</v>
      </c>
      <c r="AF16" s="130">
        <f t="shared" ref="AF16" si="28">AE16+AE16*$C$1</f>
        <v>683.88485070143213</v>
      </c>
      <c r="AG16" s="130">
        <f t="shared" ref="AG16" si="29">AF16+AF16*$C$1</f>
        <v>697.56254771546082</v>
      </c>
      <c r="AH16" s="130">
        <f t="shared" ref="AH16" si="30">AG16+AG16*$C$1</f>
        <v>711.51379866977004</v>
      </c>
      <c r="AI16" s="235">
        <f t="shared" ref="AI16" si="31">AH16+AH16*$C$1</f>
        <v>725.74407464316539</v>
      </c>
      <c r="AJ16" s="370">
        <f>SUM(Z18:AI18)-SUM(Z19:AI19)</f>
        <v>1106644.0000000168</v>
      </c>
      <c r="AL16" s="240"/>
    </row>
    <row r="17" spans="2:38" x14ac:dyDescent="0.25">
      <c r="B17" s="66" t="s">
        <v>55</v>
      </c>
      <c r="C17" s="78" t="s">
        <v>79</v>
      </c>
      <c r="D17" s="58">
        <f>('Mini SWASH II - Náklady'!$K$5+'Mini SWASH II - Náklady'!$K$6+'Mini SWASH II - Náklady'!$K$10+'Mini SWASH II - Náklady'!$K$11)*D13</f>
        <v>3848.5261499999997</v>
      </c>
      <c r="E17" s="58">
        <f>('Mini SWASH II - Náklady'!$K$5+'Mini SWASH II - Náklady'!$K$6+'Mini SWASH II - Náklady'!$K$10+'Mini SWASH II - Náklady'!$K$11)*E13</f>
        <v>4541.2608569999993</v>
      </c>
      <c r="F17" s="58">
        <f>('Mini SWASH II - Náklady'!$K$5+'Mini SWASH II - Náklady'!$K$6+'Mini SWASH II - Náklady'!$K$10+'Mini SWASH II - Náklady'!$K$11)*F13</f>
        <v>5358.6878112599998</v>
      </c>
      <c r="G17" s="58">
        <f>('Mini SWASH II - Náklady'!$K$5+'Mini SWASH II - Náklady'!$K$6+'Mini SWASH II - Náklady'!$K$10+'Mini SWASH II - Náklady'!$K$11)*G13</f>
        <v>6323.251617286799</v>
      </c>
      <c r="H17" s="58">
        <f>('Mini SWASH II - Náklady'!$K$5+'Mini SWASH II - Náklady'!$K$6+'Mini SWASH II - Náklady'!$K$10+'Mini SWASH II - Náklady'!$K$11)*H13</f>
        <v>7461.4369083984238</v>
      </c>
      <c r="I17" s="58">
        <f>('Mini SWASH II - Náklady'!$K$5+'Mini SWASH II - Náklady'!$K$6+'Mini SWASH II - Náklady'!$K$10+'Mini SWASH II - Náklady'!$K$11)*I13</f>
        <v>8804.4955519101386</v>
      </c>
      <c r="J17" s="58">
        <f>('Mini SWASH II - Náklady'!$K$5+'Mini SWASH II - Náklady'!$K$6+'Mini SWASH II - Náklady'!$K$10+'Mini SWASH II - Náklady'!$K$11)*J13</f>
        <v>8804.4955519101386</v>
      </c>
      <c r="K17" s="58">
        <f>('Mini SWASH II - Náklady'!$K$5+'Mini SWASH II - Náklady'!$K$6+'Mini SWASH II - Náklady'!$K$10+'Mini SWASH II - Náklady'!$K$11)*K13</f>
        <v>8804.4955519101386</v>
      </c>
      <c r="L17" s="58">
        <f>('Mini SWASH II - Náklady'!$K$5+'Mini SWASH II - Náklady'!$K$6+'Mini SWASH II - Náklady'!$K$10+'Mini SWASH II - Náklady'!$K$11)*L13</f>
        <v>8804.4955519101386</v>
      </c>
      <c r="M17" s="59">
        <f>('Mini SWASH II - Náklady'!$K$5+'Mini SWASH II - Náklady'!$K$6+'Mini SWASH II - Náklady'!$K$10+'Mini SWASH II - Náklady'!$K$11)*M13</f>
        <v>8804.4955519101386</v>
      </c>
      <c r="S17" s="185">
        <v>-175</v>
      </c>
      <c r="T17" s="197">
        <v>44</v>
      </c>
      <c r="U17" s="192">
        <v>0.12</v>
      </c>
      <c r="X17" s="359"/>
      <c r="Y17" s="150" t="s">
        <v>115</v>
      </c>
      <c r="Z17" s="236">
        <v>1250</v>
      </c>
      <c r="AA17" s="170">
        <f>Z17+Z17*$X$16</f>
        <v>1400</v>
      </c>
      <c r="AB17" s="170">
        <f>AA17+AA17*$X$16</f>
        <v>1568</v>
      </c>
      <c r="AC17" s="170">
        <f>AB17+AB17*$X$16</f>
        <v>1756.16</v>
      </c>
      <c r="AD17" s="170">
        <f>AC17+AC17*$X$16</f>
        <v>1966.8992000000001</v>
      </c>
      <c r="AE17" s="170">
        <f>AD17+AD17*$X$16</f>
        <v>2202.9271039999999</v>
      </c>
      <c r="AF17" s="170">
        <f>AE17</f>
        <v>2202.9271039999999</v>
      </c>
      <c r="AG17" s="170">
        <f t="shared" ref="AG17:AI17" si="32">AF17</f>
        <v>2202.9271039999999</v>
      </c>
      <c r="AH17" s="170">
        <f t="shared" si="32"/>
        <v>2202.9271039999999</v>
      </c>
      <c r="AI17" s="237">
        <f t="shared" si="32"/>
        <v>2202.9271039999999</v>
      </c>
      <c r="AJ17" s="371"/>
      <c r="AL17" s="240"/>
    </row>
    <row r="18" spans="2:38" x14ac:dyDescent="0.25">
      <c r="B18" s="32" t="s">
        <v>63</v>
      </c>
      <c r="C18" s="74" t="s">
        <v>79</v>
      </c>
      <c r="D18" s="67">
        <f>D7*'Mini SWASH II - Náklady'!$C$12*'Mini SWASH II - Náklady'!$C$14</f>
        <v>691712</v>
      </c>
      <c r="E18" s="67">
        <f>E7*'Mini SWASH II - Náklady'!$C$12*'Mini SWASH II - Náklady'!$C$14</f>
        <v>712463.35999999999</v>
      </c>
      <c r="F18" s="67">
        <f>F7*'Mini SWASH II - Náklady'!$C$12*'Mini SWASH II - Náklady'!$C$14</f>
        <v>733837.26079999993</v>
      </c>
      <c r="G18" s="67">
        <f>G7*'Mini SWASH II - Náklady'!$C$12*'Mini SWASH II - Náklady'!$C$14</f>
        <v>755852.37862399989</v>
      </c>
      <c r="H18" s="67">
        <f>H7*'Mini SWASH II - Náklady'!$C$12*'Mini SWASH II - Náklady'!$C$14</f>
        <v>778527.94998271996</v>
      </c>
      <c r="I18" s="67">
        <f>I7*'Mini SWASH II - Náklady'!$C$12*'Mini SWASH II - Náklady'!$C$14</f>
        <v>801883.78848220152</v>
      </c>
      <c r="J18" s="67">
        <f>J7*'Mini SWASH II - Náklady'!$C$12*'Mini SWASH II - Náklady'!$C$14</f>
        <v>825940.30213666754</v>
      </c>
      <c r="K18" s="67">
        <f>K7*'Mini SWASH II - Náklady'!$C$12*'Mini SWASH II - Náklady'!$C$14</f>
        <v>850718.51120076759</v>
      </c>
      <c r="L18" s="67">
        <f>L7*'Mini SWASH II - Náklady'!$C$12*'Mini SWASH II - Náklady'!$C$14</f>
        <v>876240.06653679069</v>
      </c>
      <c r="M18" s="68">
        <f>M7*'Mini SWASH II - Náklady'!$C$12*'Mini SWASH II - Náklady'!$C$14</f>
        <v>902527.26853289432</v>
      </c>
      <c r="S18" s="185">
        <v>-224</v>
      </c>
      <c r="T18" s="197">
        <v>-14</v>
      </c>
      <c r="U18" s="192">
        <v>0.13</v>
      </c>
      <c r="X18" s="359"/>
      <c r="Y18" s="148" t="s">
        <v>111</v>
      </c>
      <c r="Z18" s="230">
        <f>Z17*Z16</f>
        <v>759087.72016693535</v>
      </c>
      <c r="AA18" s="222">
        <f t="shared" ref="AA18:AI18" si="33">AA17*AA16</f>
        <v>867181.81151870696</v>
      </c>
      <c r="AB18" s="222">
        <f t="shared" si="33"/>
        <v>990668.50147897087</v>
      </c>
      <c r="AC18" s="222">
        <f t="shared" si="33"/>
        <v>1131739.6960895762</v>
      </c>
      <c r="AD18" s="222">
        <f t="shared" si="33"/>
        <v>1292899.428812732</v>
      </c>
      <c r="AE18" s="222">
        <f t="shared" si="33"/>
        <v>1477008.3074756649</v>
      </c>
      <c r="AF18" s="222">
        <f t="shared" si="33"/>
        <v>1506548.4736251782</v>
      </c>
      <c r="AG18" s="222">
        <f t="shared" si="33"/>
        <v>1536679.4430976817</v>
      </c>
      <c r="AH18" s="222">
        <f t="shared" si="33"/>
        <v>1567413.0319596354</v>
      </c>
      <c r="AI18" s="231">
        <f t="shared" si="33"/>
        <v>1598761.292598828</v>
      </c>
      <c r="AJ18" s="371"/>
      <c r="AL18" s="240"/>
    </row>
    <row r="19" spans="2:38" x14ac:dyDescent="0.25">
      <c r="B19" s="32" t="s">
        <v>45</v>
      </c>
      <c r="C19" s="74" t="s">
        <v>79</v>
      </c>
      <c r="D19" s="67">
        <f t="shared" ref="D19:M19" si="34">D8*D5*D13</f>
        <v>66999.332399999999</v>
      </c>
      <c r="E19" s="67">
        <f t="shared" si="34"/>
        <v>80798.51490110399</v>
      </c>
      <c r="F19" s="67">
        <f t="shared" si="34"/>
        <v>93761.44347829459</v>
      </c>
      <c r="G19" s="67">
        <f t="shared" si="34"/>
        <v>113072.55037708415</v>
      </c>
      <c r="H19" s="67">
        <f t="shared" si="34"/>
        <v>136360.97285274841</v>
      </c>
      <c r="I19" s="67">
        <f t="shared" si="34"/>
        <v>164445.87882150046</v>
      </c>
      <c r="J19" s="67">
        <f t="shared" si="34"/>
        <v>168063.68815557347</v>
      </c>
      <c r="K19" s="67">
        <f t="shared" si="34"/>
        <v>171761.08929499611</v>
      </c>
      <c r="L19" s="67">
        <f t="shared" si="34"/>
        <v>175539.83325948601</v>
      </c>
      <c r="M19" s="68">
        <f t="shared" si="34"/>
        <v>179401.7095911947</v>
      </c>
      <c r="S19" s="185">
        <v>-270</v>
      </c>
      <c r="T19" s="197">
        <v>-70</v>
      </c>
      <c r="U19" s="192">
        <v>0.14000000000000001</v>
      </c>
      <c r="X19" s="360"/>
      <c r="Y19" s="149" t="s">
        <v>113</v>
      </c>
      <c r="Z19" s="232">
        <f>Z15</f>
        <v>949426.09204520006</v>
      </c>
      <c r="AA19" s="223">
        <f>AA17*((E9+E8)*E5+'Mini SWASH II - Náklady'!$K$9+'Mini SWASH II - Náklady'!$K$12+'Mini SWASH II - Náklady'!$K$5+'Mini SWASH II - Náklady'!$K$6+'Mini SWASH II - Náklady'!$K$10+'Mini SWASH II - Náklady'!$K$11)+(8*E7)*'Mini SWASH II - Náklady'!$C$14+E24+E10+E10*$X$16</f>
        <v>997453.67127033602</v>
      </c>
      <c r="AB19" s="223">
        <f>AB17*((F9+F8)*F5+'Mini SWASH II - Náklady'!$K$9+'Mini SWASH II - Náklady'!$K$12+'Mini SWASH II - Náklady'!$K$5+'Mini SWASH II - Náklady'!$K$6+'Mini SWASH II - Náklady'!$K$10+'Mini SWASH II - Náklady'!$K$11)+(8*F7)*'Mini SWASH II - Náklady'!$C$14+F24+F10+F10*$X$16</f>
        <v>1039109.8902941676</v>
      </c>
      <c r="AC19" s="223">
        <f>AC17*((G9+G8)*G5+'Mini SWASH II - Náklady'!$K$9+'Mini SWASH II - Náklady'!$K$12+'Mini SWASH II - Náklady'!$K$5+'Mini SWASH II - Náklady'!$K$6+'Mini SWASH II - Náklady'!$K$10+'Mini SWASH II - Náklady'!$K$11)+(8*G7)*'Mini SWASH II - Náklady'!$C$14+G24+G10+G10*$X$16</f>
        <v>1092223.1139234584</v>
      </c>
      <c r="AD19" s="223">
        <f>AD17*((H9+H8)*H5+'Mini SWASH II - Náklady'!$K$9+'Mini SWASH II - Náklady'!$K$12+'Mini SWASH II - Náklady'!$K$5+'Mini SWASH II - Náklady'!$K$6+'Mini SWASH II - Náklady'!$K$10+'Mini SWASH II - Náklady'!$K$11)+(8*H7)*'Mini SWASH II - Náklady'!$C$14+H24+H10+H10*$X$16</f>
        <v>1150408.0186600732</v>
      </c>
      <c r="AE19" s="223">
        <f>AE17*((I9+I8)*I5+'Mini SWASH II - Náklady'!$K$9+'Mini SWASH II - Náklady'!$K$12+'Mini SWASH II - Náklady'!$K$5+'Mini SWASH II - Náklady'!$K$6+'Mini SWASH II - Náklady'!$K$10+'Mini SWASH II - Náklady'!$K$11)+(8*I7)*'Mini SWASH II - Náklady'!$C$14+I24+I10+I10*$X$16</f>
        <v>1214317.5357787532</v>
      </c>
      <c r="AF19" s="223">
        <f>AF17*((J9+J8)*J5+'Mini SWASH II - Náklady'!$K$9+'Mini SWASH II - Náklady'!$K$12+'Mini SWASH II - Náklady'!$K$5+'Mini SWASH II - Náklady'!$K$6+'Mini SWASH II - Náklady'!$K$10+'Mini SWASH II - Náklady'!$K$11)+(8*J7)*'Mini SWASH II - Náklady'!$C$14+J24+J10+J10*$X$16</f>
        <v>1245540.0359662452</v>
      </c>
      <c r="AG19" s="223">
        <f>AG17*((K9+K8)*K5+'Mini SWASH II - Náklady'!$K$9+'Mini SWASH II - Náklady'!$K$12+'Mini SWASH II - Náklady'!$K$5+'Mini SWASH II - Náklady'!$K$6+'Mini SWASH II - Náklady'!$K$10+'Mini SWASH II - Náklady'!$K$11)+(8*K7)*'Mini SWASH II - Náklady'!$C$14+K24+K10+K10*$X$16</f>
        <v>1277640.9477273205</v>
      </c>
      <c r="AH19" s="223">
        <f>AH17*((L9+L8)*L5+'Mini SWASH II - Náklady'!$K$9+'Mini SWASH II - Náklady'!$K$12+'Mini SWASH II - Náklady'!$K$5+'Mini SWASH II - Náklady'!$K$6+'Mini SWASH II - Náklady'!$K$10+'Mini SWASH II - Náklady'!$K$11)+(8*L7)*'Mini SWASH II - Náklady'!$C$14+L24+L10+L10*$X$16</f>
        <v>1310645.3509690796</v>
      </c>
      <c r="AI19" s="233">
        <f>AI17*((M9+M8)*M5+'Mini SWASH II - Náklady'!$K$9+'Mini SWASH II - Náklady'!$K$12+'Mini SWASH II - Náklady'!$K$5+'Mini SWASH II - Náklady'!$K$6+'Mini SWASH II - Náklady'!$K$10+'Mini SWASH II - Náklady'!$K$11)+(8*M7)*'Mini SWASH II - Náklady'!$C$14+M24+M10+M10*$X$16</f>
        <v>1344579.0501892611</v>
      </c>
      <c r="AJ19" s="379"/>
      <c r="AL19" s="240"/>
    </row>
    <row r="20" spans="2:38" ht="15" customHeight="1" thickBot="1" x14ac:dyDescent="0.3">
      <c r="B20" s="32" t="s">
        <v>21</v>
      </c>
      <c r="C20" s="74" t="s">
        <v>79</v>
      </c>
      <c r="D20" s="67">
        <f t="shared" ref="D20:M20" si="35">D9*D13*D5</f>
        <v>94029.599999999991</v>
      </c>
      <c r="E20" s="67">
        <f t="shared" si="35"/>
        <v>113395.93641599998</v>
      </c>
      <c r="F20" s="67">
        <f t="shared" si="35"/>
        <v>131588.63991436799</v>
      </c>
      <c r="G20" s="67">
        <f t="shared" si="35"/>
        <v>158690.63619113123</v>
      </c>
      <c r="H20" s="67">
        <f t="shared" si="35"/>
        <v>191374.55962105663</v>
      </c>
      <c r="I20" s="67">
        <f t="shared" si="35"/>
        <v>230790.06392060945</v>
      </c>
      <c r="J20" s="67">
        <f t="shared" si="35"/>
        <v>235867.44532686283</v>
      </c>
      <c r="K20" s="67">
        <f t="shared" si="35"/>
        <v>241056.52912405384</v>
      </c>
      <c r="L20" s="67">
        <f t="shared" si="35"/>
        <v>246359.77276478306</v>
      </c>
      <c r="M20" s="68">
        <f t="shared" si="35"/>
        <v>251779.68776560828</v>
      </c>
      <c r="S20" s="187">
        <v>-313</v>
      </c>
      <c r="T20" s="198">
        <v>-120</v>
      </c>
      <c r="U20" s="193">
        <v>0.15</v>
      </c>
      <c r="X20" s="361">
        <v>0.09</v>
      </c>
      <c r="Y20" s="148" t="s">
        <v>152</v>
      </c>
      <c r="Z20" s="234">
        <v>659.82417070530994</v>
      </c>
      <c r="AA20" s="130">
        <f>Z20+Z20*$C$1</f>
        <v>673.02065411941612</v>
      </c>
      <c r="AB20" s="130">
        <f t="shared" ref="AB20" si="36">AA20+AA20*$C$1</f>
        <v>686.48106720180442</v>
      </c>
      <c r="AC20" s="130">
        <f t="shared" ref="AC20" si="37">AB20+AB20*$C$1</f>
        <v>700.21068854584053</v>
      </c>
      <c r="AD20" s="130">
        <f t="shared" ref="AD20" si="38">AC20+AC20*$C$1</f>
        <v>714.21490231675739</v>
      </c>
      <c r="AE20" s="130">
        <f t="shared" ref="AE20" si="39">AD20+AD20*$C$1</f>
        <v>728.49920036309254</v>
      </c>
      <c r="AF20" s="130">
        <f t="shared" ref="AF20" si="40">AE20+AE20*$C$1</f>
        <v>743.06918437035438</v>
      </c>
      <c r="AG20" s="130">
        <f t="shared" ref="AG20" si="41">AF20+AF20*$C$1</f>
        <v>757.93056805776143</v>
      </c>
      <c r="AH20" s="130">
        <f t="shared" ref="AH20" si="42">AG20+AG20*$C$1</f>
        <v>773.08917941891661</v>
      </c>
      <c r="AI20" s="235">
        <f t="shared" ref="AI20" si="43">AH20+AH20*$C$1</f>
        <v>788.55096300729497</v>
      </c>
      <c r="AJ20" s="370">
        <f>SUM(Z22:AI22)-SUM(Z23:AI23)</f>
        <v>1106644.0000000019</v>
      </c>
      <c r="AL20" s="240"/>
    </row>
    <row r="21" spans="2:38" x14ac:dyDescent="0.25">
      <c r="B21" s="32" t="s">
        <v>56</v>
      </c>
      <c r="C21" s="74" t="s">
        <v>79</v>
      </c>
      <c r="D21" s="67">
        <f>D10</f>
        <v>18914</v>
      </c>
      <c r="E21" s="67">
        <f t="shared" ref="E21:M21" si="44">E10+E10*$M$1</f>
        <v>22764.890399999997</v>
      </c>
      <c r="F21" s="67">
        <f t="shared" si="44"/>
        <v>23220.188208</v>
      </c>
      <c r="G21" s="67">
        <f t="shared" si="44"/>
        <v>23684.59197216</v>
      </c>
      <c r="H21" s="67">
        <f t="shared" si="44"/>
        <v>24158.2838116032</v>
      </c>
      <c r="I21" s="67">
        <f t="shared" si="44"/>
        <v>24641.449487835263</v>
      </c>
      <c r="J21" s="67">
        <f t="shared" si="44"/>
        <v>25134.278477591968</v>
      </c>
      <c r="K21" s="67">
        <f t="shared" si="44"/>
        <v>25636.964047143807</v>
      </c>
      <c r="L21" s="67">
        <f t="shared" si="44"/>
        <v>26149.703328086685</v>
      </c>
      <c r="M21" s="68">
        <f t="shared" si="44"/>
        <v>26672.697394648418</v>
      </c>
      <c r="S21" s="218"/>
      <c r="T21" s="218"/>
      <c r="U21" s="219"/>
      <c r="X21" s="359"/>
      <c r="Y21" s="150" t="s">
        <v>115</v>
      </c>
      <c r="Z21" s="236">
        <v>1250</v>
      </c>
      <c r="AA21" s="170">
        <f>Z21+Z21*$X$20</f>
        <v>1362.5</v>
      </c>
      <c r="AB21" s="170">
        <f t="shared" ref="AB21:AE21" si="45">AA21+AA21*$X$20</f>
        <v>1485.125</v>
      </c>
      <c r="AC21" s="170">
        <f t="shared" si="45"/>
        <v>1618.7862500000001</v>
      </c>
      <c r="AD21" s="170">
        <f t="shared" si="45"/>
        <v>1764.4770125</v>
      </c>
      <c r="AE21" s="170">
        <f t="shared" si="45"/>
        <v>1923.279943625</v>
      </c>
      <c r="AF21" s="170">
        <f>AE21</f>
        <v>1923.279943625</v>
      </c>
      <c r="AG21" s="170">
        <f t="shared" ref="AG21:AI21" si="46">AF21</f>
        <v>1923.279943625</v>
      </c>
      <c r="AH21" s="170">
        <f t="shared" si="46"/>
        <v>1923.279943625</v>
      </c>
      <c r="AI21" s="237">
        <f t="shared" si="46"/>
        <v>1923.279943625</v>
      </c>
      <c r="AJ21" s="371"/>
      <c r="AL21" s="240"/>
    </row>
    <row r="22" spans="2:38" x14ac:dyDescent="0.25">
      <c r="B22" s="69" t="s">
        <v>61</v>
      </c>
      <c r="C22" s="79" t="s">
        <v>79</v>
      </c>
      <c r="D22" s="63">
        <f>('Mini SWASH II - Náklady'!$K$12*'Mini SWASH II - Náklady'!$K$9)*'Mini SWASH II - Kalkulace P1'!D13</f>
        <v>4481.2334951999992</v>
      </c>
      <c r="E22" s="63">
        <f>('Mini SWASH II - Náklady'!$K$12*'Mini SWASH II - Náklady'!$K$9)*'Mini SWASH II - Kalkulace P1'!E13</f>
        <v>5287.8555243359997</v>
      </c>
      <c r="F22" s="63">
        <f>('Mini SWASH II - Náklady'!$K$12*'Mini SWASH II - Náklady'!$K$9)*'Mini SWASH II - Kalkulace P1'!F13</f>
        <v>6239.6695187164787</v>
      </c>
      <c r="G22" s="63">
        <f>('Mini SWASH II - Náklady'!$K$12*'Mini SWASH II - Náklady'!$K$9)*'Mini SWASH II - Kalkulace P1'!G13</f>
        <v>7362.8100320854455</v>
      </c>
      <c r="H22" s="63">
        <f>('Mini SWASH II - Náklady'!$K$12*'Mini SWASH II - Náklady'!$K$9)*'Mini SWASH II - Kalkulace P1'!H13</f>
        <v>8688.1158378608252</v>
      </c>
      <c r="I22" s="63">
        <f>('Mini SWASH II - Náklady'!$K$12*'Mini SWASH II - Náklady'!$K$9)*'Mini SWASH II - Kalkulace P1'!I13</f>
        <v>10251.976688675775</v>
      </c>
      <c r="J22" s="63">
        <f>('Mini SWASH II - Náklady'!$K$12*'Mini SWASH II - Náklady'!$K$9)*'Mini SWASH II - Kalkulace P1'!J13</f>
        <v>10251.976688675775</v>
      </c>
      <c r="K22" s="63">
        <f>('Mini SWASH II - Náklady'!$K$12*'Mini SWASH II - Náklady'!$K$9)*'Mini SWASH II - Kalkulace P1'!K13</f>
        <v>10251.976688675775</v>
      </c>
      <c r="L22" s="63">
        <f>('Mini SWASH II - Náklady'!$K$12*'Mini SWASH II - Náklady'!$K$9)*'Mini SWASH II - Kalkulace P1'!L13</f>
        <v>10251.976688675775</v>
      </c>
      <c r="M22" s="70">
        <f>('Mini SWASH II - Náklady'!$K$12*'Mini SWASH II - Náklady'!$K$9)*'Mini SWASH II - Kalkulace P1'!M13</f>
        <v>10251.976688675775</v>
      </c>
      <c r="X22" s="359"/>
      <c r="Y22" s="148" t="s">
        <v>111</v>
      </c>
      <c r="Z22" s="230">
        <f>Z21*Z20</f>
        <v>824780.21338163747</v>
      </c>
      <c r="AA22" s="222">
        <f t="shared" ref="AA22:AI22" si="47">AA21*AA20</f>
        <v>916990.64123770443</v>
      </c>
      <c r="AB22" s="222">
        <f t="shared" si="47"/>
        <v>1019510.1949280798</v>
      </c>
      <c r="AC22" s="222">
        <f t="shared" si="47"/>
        <v>1133491.4347210391</v>
      </c>
      <c r="AD22" s="222">
        <f t="shared" si="47"/>
        <v>1260215.7771228515</v>
      </c>
      <c r="AE22" s="222">
        <f t="shared" si="47"/>
        <v>1401107.9010051861</v>
      </c>
      <c r="AF22" s="222">
        <f t="shared" si="47"/>
        <v>1429130.05902529</v>
      </c>
      <c r="AG22" s="222">
        <f t="shared" si="47"/>
        <v>1457712.6602057957</v>
      </c>
      <c r="AH22" s="222">
        <f t="shared" si="47"/>
        <v>1486866.9134099116</v>
      </c>
      <c r="AI22" s="231">
        <f t="shared" si="47"/>
        <v>1516604.2516781096</v>
      </c>
      <c r="AJ22" s="371"/>
      <c r="AL22" s="240"/>
    </row>
    <row r="23" spans="2:38" ht="14.4" thickBot="1" x14ac:dyDescent="0.3">
      <c r="B23" s="92" t="s">
        <v>78</v>
      </c>
      <c r="C23" s="93" t="s">
        <v>79</v>
      </c>
      <c r="D23" s="94">
        <f>SUM(D17:D22)</f>
        <v>879984.69204520003</v>
      </c>
      <c r="E23" s="94">
        <f t="shared" ref="E23:M23" si="48">SUM(E17:E22)</f>
        <v>939251.81809844007</v>
      </c>
      <c r="F23" s="94">
        <f t="shared" si="48"/>
        <v>994005.88973063917</v>
      </c>
      <c r="G23" s="94">
        <f t="shared" si="48"/>
        <v>1064986.2188137476</v>
      </c>
      <c r="H23" s="94">
        <f t="shared" si="48"/>
        <v>1146571.3190143874</v>
      </c>
      <c r="I23" s="94">
        <f t="shared" si="48"/>
        <v>1240817.6529527325</v>
      </c>
      <c r="J23" s="94">
        <f t="shared" si="48"/>
        <v>1274062.1863372817</v>
      </c>
      <c r="K23" s="94">
        <f t="shared" si="48"/>
        <v>1308229.5659075473</v>
      </c>
      <c r="L23" s="94">
        <f t="shared" si="48"/>
        <v>1343345.8481297325</v>
      </c>
      <c r="M23" s="95">
        <f t="shared" si="48"/>
        <v>1379437.8355249316</v>
      </c>
      <c r="S23" s="369" t="s">
        <v>173</v>
      </c>
      <c r="T23" s="369"/>
      <c r="U23" s="369"/>
      <c r="V23" s="369"/>
      <c r="X23" s="360"/>
      <c r="Y23" s="149" t="s">
        <v>113</v>
      </c>
      <c r="Z23" s="232">
        <f>Z19</f>
        <v>949426.09204520006</v>
      </c>
      <c r="AA23" s="223">
        <f>AA21*((E9+E8)*E5+'Mini SWASH II - Náklady'!$K$9+'Mini SWASH II - Náklady'!$K$12+'Mini SWASH II - Náklady'!$K$5+'Mini SWASH II - Náklady'!$K$6+'Mini SWASH II - Náklady'!$K$10+'Mini SWASH II - Náklady'!$K$11)+(8*E7)*'Mini SWASH II - Náklady'!$C$14+E24+E10+E10*$X$20</f>
        <v>991680.03971845203</v>
      </c>
      <c r="AB23" s="223">
        <f>AB21*((F9+F8)*F5+'Mini SWASH II - Náklady'!$K$9+'Mini SWASH II - Náklady'!$K$12+'Mini SWASH II - Náklady'!$K$5+'Mini SWASH II - Náklady'!$K$6+'Mini SWASH II - Náklady'!$K$10+'Mini SWASH II - Náklady'!$K$11)+(8*F7)*'Mini SWASH II - Náklady'!$C$14+F24+F10+F10*$X$20</f>
        <v>1027219.8083079677</v>
      </c>
      <c r="AC23" s="223">
        <f>AC21*((G9+G8)*G5+'Mini SWASH II - Náklady'!$K$9+'Mini SWASH II - Náklady'!$K$12+'Mini SWASH II - Náklady'!$K$5+'Mini SWASH II - Náklady'!$K$6+'Mini SWASH II - Náklady'!$K$10+'Mini SWASH II - Náklady'!$K$11)+(8*G7)*'Mini SWASH II - Náklady'!$C$14+G24+G10+G10*$X$20</f>
        <v>1072499.1965034124</v>
      </c>
      <c r="AD23" s="223">
        <f>AD21*((H9+H8)*H5+'Mini SWASH II - Náklady'!$K$9+'Mini SWASH II - Náklady'!$K$12+'Mini SWASH II - Náklady'!$K$5+'Mini SWASH II - Náklady'!$K$6+'Mini SWASH II - Náklady'!$K$10+'Mini SWASH II - Náklady'!$K$11)+(8*H7)*'Mini SWASH II - Náklady'!$C$14+H24+H10+H10*$X$20</f>
        <v>1121028.3564481868</v>
      </c>
      <c r="AE23" s="223">
        <f>AE21*((I9+I8)*I5+'Mini SWASH II - Náklady'!$K$9+'Mini SWASH II - Náklady'!$K$12+'Mini SWASH II - Náklady'!$K$5+'Mini SWASH II - Náklady'!$K$6+'Mini SWASH II - Náklady'!$K$10+'Mini SWASH II - Náklady'!$K$11)+(8*I7)*'Mini SWASH II - Náklady'!$C$14+I24+I10+I10*$X$20</f>
        <v>1173119.4434478965</v>
      </c>
      <c r="AF23" s="223">
        <f>AF21*((J9+J8)*J5+'Mini SWASH II - Náklady'!$K$9+'Mini SWASH II - Náklady'!$K$12+'Mini SWASH II - Náklady'!$K$5+'Mini SWASH II - Náklady'!$K$6+'Mini SWASH II - Náklady'!$K$10+'Mini SWASH II - Náklady'!$K$11)+(8*J7)*'Mini SWASH II - Náklady'!$C$14+J24+J10+J10*$X$20</f>
        <v>1203479.1193742801</v>
      </c>
      <c r="AG23" s="223">
        <f>AG21*((K9+K8)*K5+'Mini SWASH II - Náklady'!$K$9+'Mini SWASH II - Náklady'!$K$12+'Mini SWASH II - Náklady'!$K$5+'Mini SWASH II - Náklady'!$K$6+'Mini SWASH II - Náklady'!$K$10+'Mini SWASH II - Náklady'!$K$11)+(8*K7)*'Mini SWASH II - Náklady'!$C$14+K24+K10+K10*$X$20</f>
        <v>1234698.2497996038</v>
      </c>
      <c r="AH23" s="223">
        <f>AH21*((L9+L8)*L5+'Mini SWASH II - Náklady'!$K$9+'Mini SWASH II - Náklady'!$K$12+'Mini SWASH II - Náklady'!$K$5+'Mini SWASH II - Náklady'!$K$6+'Mini SWASH II - Náklady'!$K$10+'Mini SWASH II - Náklady'!$K$11)+(8*L7)*'Mini SWASH II - Náklady'!$C$14+L24+L10+L10*$X$20</f>
        <v>1266801.4980765083</v>
      </c>
      <c r="AI23" s="233">
        <f>AI21*((M9+M8)*M5+'Mini SWASH II - Náklady'!$K$9+'Mini SWASH II - Náklady'!$K$12+'Mini SWASH II - Náklady'!$K$5+'Mini SWASH II - Náklady'!$K$6+'Mini SWASH II - Náklady'!$K$10+'Mini SWASH II - Náklady'!$K$11)+(8*M7)*'Mini SWASH II - Náklady'!$C$14+M24+M10+M10*$X$20</f>
        <v>1299814.2429940971</v>
      </c>
      <c r="AJ23" s="379"/>
      <c r="AL23" s="240"/>
    </row>
    <row r="24" spans="2:38" ht="14.4" customHeight="1" x14ac:dyDescent="0.35">
      <c r="B24" s="66" t="s">
        <v>8</v>
      </c>
      <c r="C24" s="78" t="s">
        <v>79</v>
      </c>
      <c r="D24" s="58">
        <f>'Mini SWASH II - Náklady'!$E$3/10</f>
        <v>69441.399999999994</v>
      </c>
      <c r="E24" s="58">
        <f>'Mini SWASH II - Náklady'!$E$3/10</f>
        <v>69441.399999999994</v>
      </c>
      <c r="F24" s="58">
        <f>'Mini SWASH II - Náklady'!$E$3/10</f>
        <v>69441.399999999994</v>
      </c>
      <c r="G24" s="58">
        <f>'Mini SWASH II - Náklady'!$E$3/10</f>
        <v>69441.399999999994</v>
      </c>
      <c r="H24" s="58">
        <f>'Mini SWASH II - Náklady'!$E$3/10</f>
        <v>69441.399999999994</v>
      </c>
      <c r="I24" s="58">
        <f>'Mini SWASH II - Náklady'!$E$3/10</f>
        <v>69441.399999999994</v>
      </c>
      <c r="J24" s="58">
        <f>'Mini SWASH II - Náklady'!$E$3/10</f>
        <v>69441.399999999994</v>
      </c>
      <c r="K24" s="58">
        <f>'Mini SWASH II - Náklady'!$E$3/10</f>
        <v>69441.399999999994</v>
      </c>
      <c r="L24" s="58">
        <f>'Mini SWASH II - Náklady'!$E$3/10</f>
        <v>69441.399999999994</v>
      </c>
      <c r="M24" s="59">
        <f>'Mini SWASH II - Náklady'!$E$3/10</f>
        <v>69441.399999999994</v>
      </c>
      <c r="O24" s="18"/>
      <c r="S24" s="1" t="s">
        <v>175</v>
      </c>
      <c r="T24" s="1">
        <f>((1+$C$52)^(10))*((C52+1)-1)/(($C$52+1)^(10)-1)</f>
        <v>0.15582008990903387</v>
      </c>
      <c r="X24" s="361">
        <v>0.06</v>
      </c>
      <c r="Y24" s="148" t="s">
        <v>152</v>
      </c>
      <c r="Z24" s="234">
        <v>718.6905651832991</v>
      </c>
      <c r="AA24" s="130">
        <f>Z24+Z24*$C$1</f>
        <v>733.0643764869651</v>
      </c>
      <c r="AB24" s="130">
        <f t="shared" ref="AB24" si="49">AA24+AA24*$C$1</f>
        <v>747.7256640167044</v>
      </c>
      <c r="AC24" s="130">
        <f t="shared" ref="AC24" si="50">AB24+AB24*$C$1</f>
        <v>762.68017729703854</v>
      </c>
      <c r="AD24" s="130">
        <f t="shared" ref="AD24" si="51">AC24+AC24*$C$1</f>
        <v>777.93378084297933</v>
      </c>
      <c r="AE24" s="130">
        <f t="shared" ref="AE24" si="52">AD24+AD24*$C$1</f>
        <v>793.49245645983888</v>
      </c>
      <c r="AF24" s="130">
        <f t="shared" ref="AF24" si="53">AE24+AE24*$C$1</f>
        <v>809.3623055890356</v>
      </c>
      <c r="AG24" s="130">
        <f t="shared" ref="AG24" si="54">AF24+AF24*$C$1</f>
        <v>825.54955170081632</v>
      </c>
      <c r="AH24" s="130">
        <f t="shared" ref="AH24" si="55">AG24+AG24*$C$1</f>
        <v>842.06054273483267</v>
      </c>
      <c r="AI24" s="235">
        <f t="shared" ref="AI24" si="56">AH24+AH24*$C$1</f>
        <v>858.90175358952933</v>
      </c>
      <c r="AJ24" s="370">
        <f>SUM(Z26:AI26)-SUM(Z27:AI27)</f>
        <v>1106644.0000000428</v>
      </c>
    </row>
    <row r="25" spans="2:38" ht="14.4" thickBot="1" x14ac:dyDescent="0.3">
      <c r="B25" s="80" t="s">
        <v>82</v>
      </c>
      <c r="C25" s="81" t="s">
        <v>79</v>
      </c>
      <c r="D25" s="82">
        <f>'Mini SWASH II - Náklady'!$E$3/100*11</f>
        <v>76385.540000000008</v>
      </c>
      <c r="E25" s="82">
        <f>'Mini SWASH II - Náklady'!$E$3/100*22.25</f>
        <v>154507.11500000002</v>
      </c>
      <c r="F25" s="82">
        <f>'Mini SWASH II - Náklady'!$E$3/100*22.25</f>
        <v>154507.11500000002</v>
      </c>
      <c r="G25" s="82">
        <f>'Mini SWASH II - Náklady'!$E$3/100*22.25</f>
        <v>154507.11500000002</v>
      </c>
      <c r="H25" s="82">
        <f>'Mini SWASH II - Náklady'!$E$3/100*22.25</f>
        <v>154507.11500000002</v>
      </c>
      <c r="I25" s="82">
        <v>0</v>
      </c>
      <c r="J25" s="82">
        <v>0</v>
      </c>
      <c r="K25" s="82">
        <v>0</v>
      </c>
      <c r="L25" s="82">
        <v>0</v>
      </c>
      <c r="M25" s="83">
        <v>0</v>
      </c>
      <c r="O25" s="18"/>
      <c r="S25" s="367" t="s">
        <v>118</v>
      </c>
      <c r="T25" s="368" t="s">
        <v>174</v>
      </c>
      <c r="U25" s="368" t="s">
        <v>152</v>
      </c>
      <c r="V25" s="367" t="s">
        <v>176</v>
      </c>
      <c r="X25" s="359"/>
      <c r="Y25" s="150" t="s">
        <v>115</v>
      </c>
      <c r="Z25" s="236">
        <v>1250</v>
      </c>
      <c r="AA25" s="170">
        <f>Z25+Z25*$X$24</f>
        <v>1325</v>
      </c>
      <c r="AB25" s="170">
        <f>AA25+AA25*$X$24</f>
        <v>1404.5</v>
      </c>
      <c r="AC25" s="170">
        <f>AB25+AB25*$X$24</f>
        <v>1488.77</v>
      </c>
      <c r="AD25" s="170">
        <f>AC25+AC25*$X$24</f>
        <v>1578.0962</v>
      </c>
      <c r="AE25" s="170">
        <f>AD25+AD25*$X$24</f>
        <v>1672.781972</v>
      </c>
      <c r="AF25" s="170">
        <f>AE25</f>
        <v>1672.781972</v>
      </c>
      <c r="AG25" s="170">
        <f t="shared" ref="AG25:AI25" si="57">AF25</f>
        <v>1672.781972</v>
      </c>
      <c r="AH25" s="170">
        <f t="shared" si="57"/>
        <v>1672.781972</v>
      </c>
      <c r="AI25" s="237">
        <f t="shared" si="57"/>
        <v>1672.781972</v>
      </c>
      <c r="AJ25" s="371"/>
    </row>
    <row r="26" spans="2:38" ht="14.4" thickBot="1" x14ac:dyDescent="0.3">
      <c r="B26" s="88" t="s">
        <v>77</v>
      </c>
      <c r="C26" s="89" t="s">
        <v>79</v>
      </c>
      <c r="D26" s="90">
        <f t="shared" ref="D26:M26" si="58">SUM(D23:D24)</f>
        <v>949426.09204520006</v>
      </c>
      <c r="E26" s="90">
        <f t="shared" si="58"/>
        <v>1008693.2180984401</v>
      </c>
      <c r="F26" s="90">
        <f t="shared" si="58"/>
        <v>1063447.2897306392</v>
      </c>
      <c r="G26" s="90">
        <f t="shared" si="58"/>
        <v>1134427.6188137475</v>
      </c>
      <c r="H26" s="90">
        <f t="shared" si="58"/>
        <v>1216012.7190143873</v>
      </c>
      <c r="I26" s="90">
        <f t="shared" si="58"/>
        <v>1310259.0529527324</v>
      </c>
      <c r="J26" s="90">
        <f t="shared" si="58"/>
        <v>1343503.5863372816</v>
      </c>
      <c r="K26" s="90">
        <f t="shared" si="58"/>
        <v>1377670.9659075472</v>
      </c>
      <c r="L26" s="90">
        <f t="shared" si="58"/>
        <v>1412787.2481297324</v>
      </c>
      <c r="M26" s="91">
        <f t="shared" si="58"/>
        <v>1448879.2355249315</v>
      </c>
      <c r="S26" s="367"/>
      <c r="T26" s="368"/>
      <c r="U26" s="368"/>
      <c r="V26" s="367"/>
      <c r="X26" s="359"/>
      <c r="Y26" s="148" t="s">
        <v>111</v>
      </c>
      <c r="Z26" s="230">
        <f>Z24*Z25</f>
        <v>898363.20647912391</v>
      </c>
      <c r="AA26" s="222">
        <f t="shared" ref="AA26:AI26" si="59">AA24*AA25</f>
        <v>971310.29884522874</v>
      </c>
      <c r="AB26" s="222">
        <f t="shared" si="59"/>
        <v>1050180.6951114612</v>
      </c>
      <c r="AC26" s="222">
        <f t="shared" si="59"/>
        <v>1135455.3675545121</v>
      </c>
      <c r="AD26" s="222">
        <f t="shared" si="59"/>
        <v>1227654.3433999384</v>
      </c>
      <c r="AE26" s="222">
        <f t="shared" si="59"/>
        <v>1327339.8760840134</v>
      </c>
      <c r="AF26" s="222">
        <f t="shared" si="59"/>
        <v>1353886.6736056935</v>
      </c>
      <c r="AG26" s="222">
        <f t="shared" si="59"/>
        <v>1380964.4070778075</v>
      </c>
      <c r="AH26" s="222">
        <f t="shared" si="59"/>
        <v>1408583.6952193636</v>
      </c>
      <c r="AI26" s="231">
        <f t="shared" si="59"/>
        <v>1436755.3691237511</v>
      </c>
      <c r="AJ26" s="371"/>
    </row>
    <row r="27" spans="2:38" ht="14.4" thickBot="1" x14ac:dyDescent="0.3">
      <c r="S27" s="1">
        <v>0</v>
      </c>
      <c r="T27" s="1">
        <v>0</v>
      </c>
      <c r="U27" s="1">
        <v>518</v>
      </c>
      <c r="V27" s="1">
        <v>0</v>
      </c>
      <c r="X27" s="360"/>
      <c r="Y27" s="149" t="s">
        <v>113</v>
      </c>
      <c r="Z27" s="232">
        <f>Z23</f>
        <v>949426.09204520006</v>
      </c>
      <c r="AA27" s="223">
        <f>AA25*((E9+E8)*E5+'Mini SWASH II - Náklady'!$K$9+'Mini SWASH II - Náklady'!$K$12+'Mini SWASH II - Náklady'!$K$5+'Mini SWASH II - Náklady'!$K$6+'Mini SWASH II - Náklady'!$K$10+'Mini SWASH II - Náklady'!$K$11)+(8*E7)*'Mini SWASH II - Náklady'!$C$14+E24+E10+E10*$X$24</f>
        <v>985906.40816656803</v>
      </c>
      <c r="AB27" s="223">
        <f>AB25*((F9+F8)*F5+'Mini SWASH II - Náklady'!$K$9+'Mini SWASH II - Náklady'!$K$12+'Mini SWASH II - Náklady'!$K$5+'Mini SWASH II - Náklady'!$K$6+'Mini SWASH II - Náklady'!$K$10+'Mini SWASH II - Náklady'!$K$11)+(8*F7)*'Mini SWASH II - Náklady'!$C$14+F24+F10+F10*$X$24</f>
        <v>1015636.5065448867</v>
      </c>
      <c r="AC27" s="223">
        <f>AC25*((G9+G8)*G5+'Mini SWASH II - Náklady'!$K$9+'Mini SWASH II - Náklady'!$K$12+'Mini SWASH II - Náklady'!$K$5+'Mini SWASH II - Náklady'!$K$6+'Mini SWASH II - Náklady'!$K$10+'Mini SWASH II - Náklady'!$K$11)+(8*G7)*'Mini SWASH II - Náklady'!$C$14+G24+G10+G10*$X$24</f>
        <v>1053799.407776508</v>
      </c>
      <c r="AD27" s="223">
        <f>AD25*((H9+H8)*H5+'Mini SWASH II - Náklady'!$K$9+'Mini SWASH II - Náklady'!$K$12+'Mini SWASH II - Náklady'!$K$5+'Mini SWASH II - Náklady'!$K$6+'Mini SWASH II - Náklady'!$K$10+'Mini SWASH II - Náklady'!$K$11)+(8*H7)*'Mini SWASH II - Náklady'!$C$14+H24+H10+H10*$X$24</f>
        <v>1093928.2747202928</v>
      </c>
      <c r="AE27" s="223">
        <f>AE25*((I9+I8)*I5+'Mini SWASH II - Náklady'!$K$9+'Mini SWASH II - Náklady'!$K$12+'Mini SWASH II - Náklady'!$K$5+'Mini SWASH II - Náklady'!$K$6+'Mini SWASH II - Náklady'!$K$10+'Mini SWASH II - Náklady'!$K$11)+(8*I7)*'Mini SWASH II - Náklady'!$C$14+I24+I10+I10*$X$24</f>
        <v>1136150.3576127803</v>
      </c>
      <c r="AF27" s="223">
        <f>AF25*((J9+J8)*J5+'Mini SWASH II - Náklady'!$K$9+'Mini SWASH II - Náklady'!$K$12+'Mini SWASH II - Náklady'!$K$5+'Mini SWASH II - Náklady'!$K$6+'Mini SWASH II - Náklady'!$K$10+'Mini SWASH II - Náklady'!$K$11)+(8*J7)*'Mini SWASH II - Náklady'!$C$14+J24+J10+J10*$X$24</f>
        <v>1165735.8402549513</v>
      </c>
      <c r="AG27" s="223">
        <f>AG25*((K9+K8)*K5+'Mini SWASH II - Náklady'!$K$9+'Mini SWASH II - Náklady'!$K$12+'Mini SWASH II - Náklady'!$K$5+'Mini SWASH II - Náklady'!$K$6+'Mini SWASH II - Náklady'!$K$10+'Mini SWASH II - Náklady'!$K$11)+(8*K7)*'Mini SWASH II - Náklady'!$C$14+K24+K10+K10*$X$24</f>
        <v>1196163.7702029108</v>
      </c>
      <c r="AH27" s="223">
        <f>AH25*((L9+L8)*L5+'Mini SWASH II - Náklady'!$K$9+'Mini SWASH II - Náklady'!$K$12+'Mini SWASH II - Náklady'!$K$5+'Mini SWASH II - Náklady'!$K$6+'Mini SWASH II - Náklady'!$K$10+'Mini SWASH II - Náklady'!$K$11)+(8*L7)*'Mini SWASH II - Náklady'!$C$14+L24+L10+L10*$X$24</f>
        <v>1227458.437152232</v>
      </c>
      <c r="AI27" s="233">
        <f>AI25*((M9+M8)*M5+'Mini SWASH II - Náklady'!$K$9+'Mini SWASH II - Náklady'!$K$12+'Mini SWASH II - Náklady'!$K$5+'Mini SWASH II - Náklady'!$K$6+'Mini SWASH II - Náklady'!$K$10+'Mini SWASH II - Náklady'!$K$11)+(8*M7)*'Mini SWASH II - Náklady'!$C$14+M24+M10+M10*$X$24</f>
        <v>1259644.8380245201</v>
      </c>
      <c r="AJ27" s="379"/>
    </row>
    <row r="28" spans="2:38" ht="15" customHeight="1" thickBot="1" x14ac:dyDescent="0.3">
      <c r="B28" s="88" t="s">
        <v>147</v>
      </c>
      <c r="C28" s="89" t="s">
        <v>79</v>
      </c>
      <c r="D28" s="90">
        <f t="shared" ref="D28:M28" si="60">D15-D26</f>
        <v>-301543.97166879498</v>
      </c>
      <c r="E28" s="90">
        <f t="shared" si="60"/>
        <v>-228902.29801339889</v>
      </c>
      <c r="F28" s="90">
        <f t="shared" si="60"/>
        <v>-124890.93831628351</v>
      </c>
      <c r="G28" s="90">
        <f t="shared" si="60"/>
        <v>-4781.1942514290567</v>
      </c>
      <c r="H28" s="90">
        <f t="shared" si="60"/>
        <v>143629.7175888191</v>
      </c>
      <c r="I28" s="90">
        <f t="shared" si="60"/>
        <v>326206.58374288701</v>
      </c>
      <c r="J28" s="90">
        <f t="shared" si="60"/>
        <v>325691.36309225019</v>
      </c>
      <c r="K28" s="90">
        <f t="shared" si="60"/>
        <v>324907.88251057547</v>
      </c>
      <c r="L28" s="90">
        <f t="shared" si="60"/>
        <v>323843.1772567525</v>
      </c>
      <c r="M28" s="91">
        <f t="shared" si="60"/>
        <v>322483.79836928332</v>
      </c>
      <c r="N28" s="71"/>
      <c r="S28" s="1">
        <v>255189</v>
      </c>
      <c r="T28" s="1">
        <v>3.9</v>
      </c>
      <c r="U28" s="1">
        <v>538</v>
      </c>
      <c r="V28" s="1">
        <f>S28*T24</f>
        <v>39763.572923796448</v>
      </c>
      <c r="X28" s="361">
        <v>0.03</v>
      </c>
      <c r="Y28" s="148" t="s">
        <v>152</v>
      </c>
      <c r="Z28" s="234">
        <v>784.59716337115344</v>
      </c>
      <c r="AA28" s="130">
        <f>Z28+Z28*$C$1</f>
        <v>800.28910663857653</v>
      </c>
      <c r="AB28" s="130">
        <f t="shared" ref="AB28" si="61">AA28+AA28*$C$1</f>
        <v>816.29488877134804</v>
      </c>
      <c r="AC28" s="130">
        <f t="shared" ref="AC28" si="62">AB28+AB28*$C$1</f>
        <v>832.62078654677498</v>
      </c>
      <c r="AD28" s="130">
        <f t="shared" ref="AD28" si="63">AC28+AC28*$C$1</f>
        <v>849.27320227771042</v>
      </c>
      <c r="AE28" s="130">
        <f t="shared" ref="AE28" si="64">AD28+AD28*$C$1</f>
        <v>866.25866632326461</v>
      </c>
      <c r="AF28" s="130">
        <f t="shared" ref="AF28" si="65">AE28+AE28*$C$1</f>
        <v>883.58383964972995</v>
      </c>
      <c r="AG28" s="130">
        <f t="shared" ref="AG28" si="66">AF28+AF28*$C$1</f>
        <v>901.25551644272457</v>
      </c>
      <c r="AH28" s="130">
        <f t="shared" ref="AH28" si="67">AG28+AG28*$C$1</f>
        <v>919.28062677157902</v>
      </c>
      <c r="AI28" s="235">
        <f t="shared" ref="AI28" si="68">AH28+AH28*$C$1</f>
        <v>937.66623930701064</v>
      </c>
      <c r="AJ28" s="370">
        <f>SUM(Z30:AI30)-SUM(Z31:AI31)</f>
        <v>1106644.0000000019</v>
      </c>
    </row>
    <row r="29" spans="2:38" ht="15" customHeight="1" thickBot="1" x14ac:dyDescent="0.3">
      <c r="S29" s="1">
        <v>330087</v>
      </c>
      <c r="T29" s="1">
        <v>5</v>
      </c>
      <c r="U29" s="1">
        <v>544</v>
      </c>
      <c r="V29" s="1">
        <f>S29*T24</f>
        <v>51434.186017803266</v>
      </c>
      <c r="X29" s="359"/>
      <c r="Y29" s="150" t="s">
        <v>115</v>
      </c>
      <c r="Z29" s="236">
        <v>1250</v>
      </c>
      <c r="AA29" s="170">
        <f>Z29+Z29*$X$28</f>
        <v>1287.5</v>
      </c>
      <c r="AB29" s="170">
        <f t="shared" ref="AB29:AE29" si="69">AA29+AA29*$X$28</f>
        <v>1326.125</v>
      </c>
      <c r="AC29" s="170">
        <f t="shared" si="69"/>
        <v>1365.9087500000001</v>
      </c>
      <c r="AD29" s="170">
        <f t="shared" si="69"/>
        <v>1406.8860125000001</v>
      </c>
      <c r="AE29" s="170">
        <f t="shared" si="69"/>
        <v>1449.092592875</v>
      </c>
      <c r="AF29" s="170">
        <f>AE29</f>
        <v>1449.092592875</v>
      </c>
      <c r="AG29" s="170">
        <f t="shared" ref="AG29:AI29" si="70">AF29</f>
        <v>1449.092592875</v>
      </c>
      <c r="AH29" s="170">
        <f t="shared" si="70"/>
        <v>1449.092592875</v>
      </c>
      <c r="AI29" s="237">
        <f t="shared" si="70"/>
        <v>1449.092592875</v>
      </c>
      <c r="AJ29" s="371"/>
    </row>
    <row r="30" spans="2:38" ht="14.4" customHeight="1" x14ac:dyDescent="0.25">
      <c r="B30" s="66" t="s">
        <v>83</v>
      </c>
      <c r="C30" s="78" t="s">
        <v>79</v>
      </c>
      <c r="D30" s="58">
        <f t="shared" ref="D30:M30" si="71">D28+D24-D25</f>
        <v>-308488.111668795</v>
      </c>
      <c r="E30" s="58">
        <f t="shared" si="71"/>
        <v>-313968.01301339892</v>
      </c>
      <c r="F30" s="58">
        <f t="shared" si="71"/>
        <v>-209956.65331628354</v>
      </c>
      <c r="G30" s="58">
        <f t="shared" si="71"/>
        <v>-89846.909251429082</v>
      </c>
      <c r="H30" s="58">
        <f t="shared" si="71"/>
        <v>58564.002588819072</v>
      </c>
      <c r="I30" s="58">
        <f t="shared" si="71"/>
        <v>395647.98374288704</v>
      </c>
      <c r="J30" s="58">
        <f t="shared" si="71"/>
        <v>395132.76309225021</v>
      </c>
      <c r="K30" s="58">
        <f t="shared" si="71"/>
        <v>394349.28251057549</v>
      </c>
      <c r="L30" s="58">
        <f t="shared" si="71"/>
        <v>393284.57725675253</v>
      </c>
      <c r="M30" s="59">
        <f t="shared" si="71"/>
        <v>391925.19836928335</v>
      </c>
      <c r="S30" s="1">
        <v>496623</v>
      </c>
      <c r="T30" s="1">
        <v>7.5</v>
      </c>
      <c r="U30" s="1">
        <v>557</v>
      </c>
      <c r="V30" s="1">
        <f>S30*T24</f>
        <v>77383.840510894122</v>
      </c>
      <c r="X30" s="359"/>
      <c r="Y30" s="148" t="s">
        <v>111</v>
      </c>
      <c r="Z30" s="230">
        <f>Z29*Z28</f>
        <v>980746.45421394182</v>
      </c>
      <c r="AA30" s="222">
        <f t="shared" ref="AA30:AI30" si="72">AA29*AA28</f>
        <v>1030372.2247971672</v>
      </c>
      <c r="AB30" s="222">
        <f t="shared" si="72"/>
        <v>1082509.059371904</v>
      </c>
      <c r="AC30" s="222">
        <f t="shared" si="72"/>
        <v>1137284.0177761223</v>
      </c>
      <c r="AD30" s="222">
        <f t="shared" si="72"/>
        <v>1194830.589075594</v>
      </c>
      <c r="AE30" s="222">
        <f t="shared" si="72"/>
        <v>1255289.0168828189</v>
      </c>
      <c r="AF30" s="222">
        <f t="shared" si="72"/>
        <v>1280394.7972204755</v>
      </c>
      <c r="AG30" s="222">
        <f t="shared" si="72"/>
        <v>1306002.693164885</v>
      </c>
      <c r="AH30" s="222">
        <f t="shared" si="72"/>
        <v>1332122.7470281827</v>
      </c>
      <c r="AI30" s="231">
        <f t="shared" si="72"/>
        <v>1358765.2019687463</v>
      </c>
      <c r="AJ30" s="371"/>
    </row>
    <row r="31" spans="2:38" ht="15" customHeight="1" thickBot="1" x14ac:dyDescent="0.3">
      <c r="B31" s="48" t="s">
        <v>85</v>
      </c>
      <c r="C31" s="118"/>
      <c r="D31" s="46">
        <v>0</v>
      </c>
      <c r="E31" s="46">
        <v>0</v>
      </c>
      <c r="F31" s="46">
        <v>0</v>
      </c>
      <c r="G31" s="46">
        <v>0</v>
      </c>
      <c r="H31" s="46">
        <f>G31+H30</f>
        <v>58564.002588819072</v>
      </c>
      <c r="I31" s="46">
        <f>H32</f>
        <v>249924.10907997593</v>
      </c>
      <c r="J31" s="46">
        <v>0</v>
      </c>
      <c r="K31" s="46">
        <f t="shared" ref="K31:L31" si="73">J32</f>
        <v>0</v>
      </c>
      <c r="L31" s="46">
        <f t="shared" si="73"/>
        <v>0</v>
      </c>
      <c r="M31" s="49">
        <f>L32</f>
        <v>0</v>
      </c>
      <c r="N31" s="54"/>
      <c r="X31" s="362"/>
      <c r="Y31" s="153" t="s">
        <v>113</v>
      </c>
      <c r="Z31" s="238">
        <f>Z27</f>
        <v>949426.09204520006</v>
      </c>
      <c r="AA31" s="224">
        <f>AA29*((E9+E8)*E5+'Mini SWASH II - Náklady'!$K$9+'Mini SWASH II - Náklady'!$K$12+'Mini SWASH II - Náklady'!$K$5+'Mini SWASH II - Náklady'!$K$6+'Mini SWASH II - Náklady'!$K$10+'Mini SWASH II - Náklady'!$K$11)+(8*E7)*'Mini SWASH II - Náklady'!$C$14+E24+E10+E10*$X$28</f>
        <v>980132.77661468403</v>
      </c>
      <c r="AB31" s="224">
        <f>AB29*((F9+F8)*F5+'Mini SWASH II - Náklady'!$K$9+'Mini SWASH II - Náklady'!$K$12+'Mini SWASH II - Náklady'!$K$5+'Mini SWASH II - Náklady'!$K$6+'Mini SWASH II - Náklady'!$K$10+'Mini SWASH II - Náklady'!$K$11)+(8*F7)*'Mini SWASH II - Náklady'!$C$14+F24+F10+F10*$X$28</f>
        <v>1004359.9850049241</v>
      </c>
      <c r="AC31" s="224">
        <f>AC29*((G9+G8)*G5+'Mini SWASH II - Náklady'!$K$9+'Mini SWASH II - Náklady'!$K$12+'Mini SWASH II - Náklady'!$K$5+'Mini SWASH II - Náklady'!$K$6+'Mini SWASH II - Náklady'!$K$10+'Mini SWASH II - Náklady'!$K$11)+(8*G7)*'Mini SWASH II - Náklady'!$C$14+G24+G10+G10*$X$28</f>
        <v>1036095.5607144936</v>
      </c>
      <c r="AD31" s="224">
        <f>AD29*((H9+H8)*H5+'Mini SWASH II - Náklady'!$K$9+'Mini SWASH II - Náklady'!$K$12+'Mini SWASH II - Náklady'!$K$5+'Mini SWASH II - Náklady'!$K$6+'Mini SWASH II - Náklady'!$K$10+'Mini SWASH II - Náklady'!$K$11)+(8*H7)*'Mini SWASH II - Náklady'!$C$14+H24+H10+H10*$X$28</f>
        <v>1068984.0344137212</v>
      </c>
      <c r="AE31" s="224">
        <f>AE29*((I9+I8)*I5+'Mini SWASH II - Náklady'!$K$9+'Mini SWASH II - Náklady'!$K$12+'Mini SWASH II - Náklady'!$K$5+'Mini SWASH II - Náklady'!$K$6+'Mini SWASH II - Náklady'!$K$10+'Mini SWASH II - Náklady'!$K$11)+(8*I7)*'Mini SWASH II - Náklady'!$C$14+I24+I10+I10*$X$28</f>
        <v>1103070.7011815675</v>
      </c>
      <c r="AF31" s="224">
        <f>AF29*((J9+J8)*J5+'Mini SWASH II - Náklady'!$K$9+'Mini SWASH II - Náklady'!$K$12+'Mini SWASH II - Náklady'!$K$5+'Mini SWASH II - Náklady'!$K$6+'Mini SWASH II - Náklady'!$K$10+'Mini SWASH II - Náklady'!$K$11)+(8*J7)*'Mini SWASH II - Náklady'!$C$14+J24+J10+J10*$X$28</f>
        <v>1131963.5047031906</v>
      </c>
      <c r="AG31" s="224">
        <f>AG29*((K9+K8)*K5+'Mini SWASH II - Náklady'!$K$9+'Mini SWASH II - Náklady'!$K$12+'Mini SWASH II - Náklady'!$K$5+'Mini SWASH II - Náklady'!$K$6+'Mini SWASH II - Náklady'!$K$10+'Mini SWASH II - Náklady'!$K$11)+(8*K7)*'Mini SWASH II - Náklady'!$C$14+K24+K10+K10*$X$28</f>
        <v>1161683.5416490517</v>
      </c>
      <c r="AH31" s="224">
        <f>AH29*((L9+L8)*L5+'Mini SWASH II - Náklady'!$K$9+'Mini SWASH II - Náklady'!$K$12+'Mini SWASH II - Náklady'!$K$5+'Mini SWASH II - Náklady'!$K$6+'Mini SWASH II - Náklady'!$K$10+'Mini SWASH II - Náklady'!$K$11)+(8*L7)*'Mini SWASH II - Náklady'!$C$14+L24+L10+L10*$X$28</f>
        <v>1192254.7675105114</v>
      </c>
      <c r="AI31" s="239">
        <f>AI29*((M9+M8)*M5+'Mini SWASH II - Náklady'!$K$9+'Mini SWASH II - Náklady'!$K$12+'Mini SWASH II - Náklady'!$K$5+'Mini SWASH II - Náklady'!$K$6+'Mini SWASH II - Náklady'!$K$10+'Mini SWASH II - Náklady'!$K$11)+(8*M7)*'Mini SWASH II - Náklady'!$C$14+M24+M10+M10*$X$28</f>
        <v>1223701.8376624936</v>
      </c>
      <c r="AJ31" s="372"/>
    </row>
    <row r="32" spans="2:38" x14ac:dyDescent="0.25">
      <c r="B32" s="69" t="s">
        <v>91</v>
      </c>
      <c r="C32" s="119"/>
      <c r="D32" s="63">
        <f>ABS(D30-D31)</f>
        <v>308488.111668795</v>
      </c>
      <c r="E32" s="63">
        <f>D32-E31</f>
        <v>308488.111668795</v>
      </c>
      <c r="F32" s="63">
        <f t="shared" ref="F32:H32" si="74">E32-F31</f>
        <v>308488.111668795</v>
      </c>
      <c r="G32" s="63">
        <f t="shared" si="74"/>
        <v>308488.111668795</v>
      </c>
      <c r="H32" s="63">
        <f t="shared" si="74"/>
        <v>249924.10907997593</v>
      </c>
      <c r="I32" s="63">
        <f>H32-I31</f>
        <v>0</v>
      </c>
      <c r="J32" s="63">
        <f t="shared" ref="J32:M32" si="75">I32-J31</f>
        <v>0</v>
      </c>
      <c r="K32" s="63">
        <f t="shared" si="75"/>
        <v>0</v>
      </c>
      <c r="L32" s="63">
        <f t="shared" si="75"/>
        <v>0</v>
      </c>
      <c r="M32" s="70">
        <f t="shared" si="75"/>
        <v>0</v>
      </c>
    </row>
    <row r="33" spans="2:14" x14ac:dyDescent="0.25">
      <c r="B33" s="48" t="s">
        <v>92</v>
      </c>
      <c r="C33" s="118"/>
      <c r="D33" s="46"/>
      <c r="E33" s="46">
        <v>0</v>
      </c>
      <c r="F33" s="46">
        <v>0</v>
      </c>
      <c r="G33" s="46">
        <v>0</v>
      </c>
      <c r="H33" s="46">
        <v>0</v>
      </c>
      <c r="I33" s="46">
        <f>I30-I31</f>
        <v>145723.87466291111</v>
      </c>
      <c r="J33" s="46">
        <f>I34</f>
        <v>168244.1383504878</v>
      </c>
      <c r="K33" s="46">
        <f>J34</f>
        <v>0</v>
      </c>
      <c r="L33" s="46">
        <f>K34</f>
        <v>0</v>
      </c>
      <c r="M33" s="49">
        <f>L34</f>
        <v>0</v>
      </c>
    </row>
    <row r="34" spans="2:14" x14ac:dyDescent="0.25">
      <c r="B34" s="69" t="s">
        <v>93</v>
      </c>
      <c r="C34" s="119"/>
      <c r="D34" s="119"/>
      <c r="E34" s="63">
        <f>ABS(E30-E33)</f>
        <v>313968.01301339892</v>
      </c>
      <c r="F34" s="63">
        <f>E34-F33</f>
        <v>313968.01301339892</v>
      </c>
      <c r="G34" s="63">
        <f>F34-G33</f>
        <v>313968.01301339892</v>
      </c>
      <c r="H34" s="63">
        <f>G34-H33</f>
        <v>313968.01301339892</v>
      </c>
      <c r="I34" s="63">
        <f>H34-I33</f>
        <v>168244.1383504878</v>
      </c>
      <c r="J34" s="63">
        <f>I34-J33</f>
        <v>0</v>
      </c>
      <c r="K34" s="63">
        <f t="shared" ref="K34:M34" si="76">J34-K33</f>
        <v>0</v>
      </c>
      <c r="L34" s="63">
        <f t="shared" si="76"/>
        <v>0</v>
      </c>
      <c r="M34" s="70">
        <f t="shared" si="76"/>
        <v>0</v>
      </c>
    </row>
    <row r="35" spans="2:14" x14ac:dyDescent="0.25">
      <c r="B35" s="48" t="s">
        <v>94</v>
      </c>
      <c r="C35" s="118"/>
      <c r="D35" s="118"/>
      <c r="E35" s="46"/>
      <c r="F35" s="46">
        <v>0</v>
      </c>
      <c r="G35" s="46">
        <v>0</v>
      </c>
      <c r="H35" s="46">
        <v>0</v>
      </c>
      <c r="I35" s="46">
        <v>0</v>
      </c>
      <c r="J35" s="46">
        <f>I36</f>
        <v>209956.65331628354</v>
      </c>
      <c r="K35" s="46">
        <f>J36</f>
        <v>0</v>
      </c>
      <c r="L35" s="46">
        <f t="shared" ref="L35:M35" si="77">K36</f>
        <v>0</v>
      </c>
      <c r="M35" s="49">
        <f t="shared" si="77"/>
        <v>0</v>
      </c>
    </row>
    <row r="36" spans="2:14" x14ac:dyDescent="0.25">
      <c r="B36" s="69" t="s">
        <v>95</v>
      </c>
      <c r="C36" s="119"/>
      <c r="D36" s="119"/>
      <c r="E36" s="63"/>
      <c r="F36" s="63">
        <f>ABS(F30-F35)</f>
        <v>209956.65331628354</v>
      </c>
      <c r="G36" s="63">
        <f>F36-G35</f>
        <v>209956.65331628354</v>
      </c>
      <c r="H36" s="63">
        <f t="shared" ref="H36:I36" si="78">G36-H35</f>
        <v>209956.65331628354</v>
      </c>
      <c r="I36" s="63">
        <f t="shared" si="78"/>
        <v>209956.65331628354</v>
      </c>
      <c r="J36" s="63">
        <f>J35-I36</f>
        <v>0</v>
      </c>
      <c r="K36" s="63">
        <f>J36-K35</f>
        <v>0</v>
      </c>
      <c r="L36" s="63">
        <f t="shared" ref="L36:M36" si="79">K36-L35</f>
        <v>0</v>
      </c>
      <c r="M36" s="70">
        <f t="shared" si="79"/>
        <v>0</v>
      </c>
    </row>
    <row r="37" spans="2:14" x14ac:dyDescent="0.25">
      <c r="B37" s="48" t="s">
        <v>96</v>
      </c>
      <c r="C37" s="118"/>
      <c r="D37" s="118"/>
      <c r="E37" s="46"/>
      <c r="F37" s="46"/>
      <c r="G37" s="46">
        <v>0</v>
      </c>
      <c r="H37" s="46">
        <v>0</v>
      </c>
      <c r="I37" s="46">
        <v>0</v>
      </c>
      <c r="J37" s="46">
        <f>J30-J33-J35</f>
        <v>16931.971425478871</v>
      </c>
      <c r="K37" s="46">
        <f>J38</f>
        <v>72914.937825950212</v>
      </c>
      <c r="L37" s="46">
        <f t="shared" ref="L37:M37" si="80">K38</f>
        <v>0</v>
      </c>
      <c r="M37" s="49">
        <f t="shared" si="80"/>
        <v>0</v>
      </c>
    </row>
    <row r="38" spans="2:14" x14ac:dyDescent="0.25">
      <c r="B38" s="69" t="s">
        <v>97</v>
      </c>
      <c r="C38" s="119"/>
      <c r="D38" s="119"/>
      <c r="E38" s="63"/>
      <c r="F38" s="63"/>
      <c r="G38" s="63">
        <f>ABS(G30)</f>
        <v>89846.909251429082</v>
      </c>
      <c r="H38" s="63">
        <f>G38-H37</f>
        <v>89846.909251429082</v>
      </c>
      <c r="I38" s="63">
        <f t="shared" ref="I38" si="81">H38-I37</f>
        <v>89846.909251429082</v>
      </c>
      <c r="J38" s="63">
        <f>I38-J37</f>
        <v>72914.937825950212</v>
      </c>
      <c r="K38" s="63">
        <f t="shared" ref="K38" si="82">J38-K37</f>
        <v>0</v>
      </c>
      <c r="L38" s="63">
        <f t="shared" ref="L38:M38" si="83">K38-L37</f>
        <v>0</v>
      </c>
      <c r="M38" s="70">
        <f t="shared" si="83"/>
        <v>0</v>
      </c>
    </row>
    <row r="39" spans="2:14" x14ac:dyDescent="0.25">
      <c r="B39" s="32" t="s">
        <v>84</v>
      </c>
      <c r="C39" s="85"/>
      <c r="D39" s="67"/>
      <c r="E39" s="85"/>
      <c r="F39" s="85"/>
      <c r="G39" s="85"/>
      <c r="H39" s="67">
        <f>H30-H31</f>
        <v>0</v>
      </c>
      <c r="I39" s="67">
        <f>I30-I31-I33</f>
        <v>0</v>
      </c>
      <c r="J39" s="67">
        <f>J30-J33-J35-J37</f>
        <v>0</v>
      </c>
      <c r="K39" s="67">
        <f>K30-K35-K37</f>
        <v>321434.34468462528</v>
      </c>
      <c r="L39" s="67">
        <f t="shared" ref="L39:M39" si="84">L30-L35-L37</f>
        <v>393284.57725675253</v>
      </c>
      <c r="M39" s="68">
        <f t="shared" si="84"/>
        <v>391925.19836928335</v>
      </c>
    </row>
    <row r="40" spans="2:14" x14ac:dyDescent="0.25">
      <c r="B40" s="107" t="s">
        <v>86</v>
      </c>
      <c r="C40" s="108" t="s">
        <v>79</v>
      </c>
      <c r="D40" s="109">
        <v>0</v>
      </c>
      <c r="E40" s="109">
        <v>0</v>
      </c>
      <c r="F40" s="109">
        <v>0</v>
      </c>
      <c r="G40" s="109">
        <v>0</v>
      </c>
      <c r="H40" s="109">
        <v>0</v>
      </c>
      <c r="I40" s="110">
        <f>I39*0.19</f>
        <v>0</v>
      </c>
      <c r="J40" s="110">
        <f t="shared" ref="J40:M40" si="85">J39*0.19</f>
        <v>0</v>
      </c>
      <c r="K40" s="110">
        <f t="shared" si="85"/>
        <v>61072.525490078806</v>
      </c>
      <c r="L40" s="110">
        <f t="shared" si="85"/>
        <v>74724.06967878298</v>
      </c>
      <c r="M40" s="111">
        <f t="shared" si="85"/>
        <v>74465.787690163837</v>
      </c>
    </row>
    <row r="41" spans="2:14" ht="14.4" thickBot="1" x14ac:dyDescent="0.3">
      <c r="B41" s="103" t="s">
        <v>87</v>
      </c>
      <c r="C41" s="104" t="s">
        <v>79</v>
      </c>
      <c r="D41" s="105">
        <f t="shared" ref="D41:M41" si="86">D30-D40</f>
        <v>-308488.111668795</v>
      </c>
      <c r="E41" s="105">
        <f t="shared" si="86"/>
        <v>-313968.01301339892</v>
      </c>
      <c r="F41" s="105">
        <f>F30-F40</f>
        <v>-209956.65331628354</v>
      </c>
      <c r="G41" s="105">
        <f t="shared" si="86"/>
        <v>-89846.909251429082</v>
      </c>
      <c r="H41" s="105">
        <f t="shared" si="86"/>
        <v>58564.002588819072</v>
      </c>
      <c r="I41" s="105">
        <f t="shared" si="86"/>
        <v>395647.98374288704</v>
      </c>
      <c r="J41" s="105">
        <f t="shared" si="86"/>
        <v>395132.76309225021</v>
      </c>
      <c r="K41" s="105">
        <f t="shared" si="86"/>
        <v>333276.75702049671</v>
      </c>
      <c r="L41" s="105">
        <f t="shared" si="86"/>
        <v>318560.50757796958</v>
      </c>
      <c r="M41" s="106">
        <f t="shared" si="86"/>
        <v>317459.41067911952</v>
      </c>
    </row>
    <row r="42" spans="2:14" ht="14.4" thickBot="1" x14ac:dyDescent="0.3">
      <c r="B42" s="51" t="s">
        <v>125</v>
      </c>
      <c r="C42" s="52"/>
      <c r="D42" s="202">
        <f t="shared" ref="D42:M42" si="87">D41/(1+$C$52)^D4</f>
        <v>-283016.61620990367</v>
      </c>
      <c r="E42" s="202">
        <f t="shared" si="87"/>
        <v>-264260.59507903282</v>
      </c>
      <c r="F42" s="202">
        <f t="shared" si="87"/>
        <v>-162125.05921974219</v>
      </c>
      <c r="G42" s="202">
        <f t="shared" si="87"/>
        <v>-63649.815649999196</v>
      </c>
      <c r="H42" s="202">
        <f t="shared" si="87"/>
        <v>38062.583389731059</v>
      </c>
      <c r="I42" s="202">
        <f t="shared" si="87"/>
        <v>235911.96565152268</v>
      </c>
      <c r="J42" s="202">
        <f t="shared" si="87"/>
        <v>216151.15267102249</v>
      </c>
      <c r="K42" s="202">
        <f t="shared" si="87"/>
        <v>167260.36614728178</v>
      </c>
      <c r="L42" s="202">
        <f t="shared" si="87"/>
        <v>146674.1071457103</v>
      </c>
      <c r="M42" s="203">
        <f t="shared" si="87"/>
        <v>134098.28582159677</v>
      </c>
    </row>
    <row r="43" spans="2:14" ht="14.4" thickBot="1" x14ac:dyDescent="0.3">
      <c r="N43" s="54"/>
    </row>
    <row r="44" spans="2:14" x14ac:dyDescent="0.25">
      <c r="B44" s="99" t="s">
        <v>148</v>
      </c>
      <c r="C44" s="101">
        <v>-694414</v>
      </c>
      <c r="D44" s="101">
        <f>D15-D23-D40</f>
        <v>-232102.57166879496</v>
      </c>
      <c r="E44" s="101">
        <f>E15-E23-E40</f>
        <v>-159460.89801339887</v>
      </c>
      <c r="F44" s="101">
        <f t="shared" ref="F44:M44" si="88">F15-F23-F40</f>
        <v>-55449.538316283491</v>
      </c>
      <c r="G44" s="101">
        <f t="shared" si="88"/>
        <v>64660.20574857085</v>
      </c>
      <c r="H44" s="101">
        <f t="shared" si="88"/>
        <v>213071.117588819</v>
      </c>
      <c r="I44" s="101">
        <f t="shared" si="88"/>
        <v>395647.98374288692</v>
      </c>
      <c r="J44" s="101">
        <f t="shared" si="88"/>
        <v>395132.7630922501</v>
      </c>
      <c r="K44" s="101">
        <f t="shared" si="88"/>
        <v>333276.75702049659</v>
      </c>
      <c r="L44" s="101">
        <f t="shared" si="88"/>
        <v>318560.50757796946</v>
      </c>
      <c r="M44" s="102">
        <f t="shared" si="88"/>
        <v>317459.41067911941</v>
      </c>
    </row>
    <row r="45" spans="2:14" x14ac:dyDescent="0.25">
      <c r="B45" s="210" t="s">
        <v>100</v>
      </c>
      <c r="C45" s="211"/>
      <c r="D45" s="212">
        <f>D44/(1+$C$52)^D4</f>
        <v>-212938.13914568344</v>
      </c>
      <c r="E45" s="212">
        <f t="shared" ref="E45:M45" si="89">E44/(1+$C$52)^E4</f>
        <v>-134215.04756619717</v>
      </c>
      <c r="F45" s="212">
        <f t="shared" si="89"/>
        <v>-42817.217464847105</v>
      </c>
      <c r="G45" s="212">
        <f t="shared" si="89"/>
        <v>45806.91990495033</v>
      </c>
      <c r="H45" s="212">
        <f t="shared" si="89"/>
        <v>138481.60683463886</v>
      </c>
      <c r="I45" s="212">
        <f t="shared" si="89"/>
        <v>235911.96565152262</v>
      </c>
      <c r="J45" s="212">
        <f t="shared" si="89"/>
        <v>216151.15267102243</v>
      </c>
      <c r="K45" s="212">
        <f t="shared" si="89"/>
        <v>167260.36614728172</v>
      </c>
      <c r="L45" s="212">
        <f t="shared" si="89"/>
        <v>146674.10714571024</v>
      </c>
      <c r="M45" s="213">
        <f t="shared" si="89"/>
        <v>134098.28582159671</v>
      </c>
      <c r="N45" s="54"/>
    </row>
    <row r="46" spans="2:14" ht="14.4" thickBot="1" x14ac:dyDescent="0.3">
      <c r="B46" s="214" t="s">
        <v>101</v>
      </c>
      <c r="C46" s="215"/>
      <c r="D46" s="216">
        <f>D45+C46</f>
        <v>-212938.13914568344</v>
      </c>
      <c r="E46" s="216">
        <f t="shared" ref="E46:M46" si="90">E45+D46</f>
        <v>-347153.18671188061</v>
      </c>
      <c r="F46" s="216">
        <f t="shared" si="90"/>
        <v>-389970.40417672769</v>
      </c>
      <c r="G46" s="216">
        <f t="shared" si="90"/>
        <v>-344163.48427177739</v>
      </c>
      <c r="H46" s="216">
        <f t="shared" si="90"/>
        <v>-205681.87743713852</v>
      </c>
      <c r="I46" s="216">
        <f t="shared" si="90"/>
        <v>30230.088214384101</v>
      </c>
      <c r="J46" s="216">
        <f t="shared" si="90"/>
        <v>246381.24088540653</v>
      </c>
      <c r="K46" s="216">
        <f t="shared" si="90"/>
        <v>413641.60703268822</v>
      </c>
      <c r="L46" s="216">
        <f t="shared" si="90"/>
        <v>560315.71417839848</v>
      </c>
      <c r="M46" s="217">
        <f t="shared" si="90"/>
        <v>694413.99999999523</v>
      </c>
      <c r="N46" s="54"/>
    </row>
    <row r="47" spans="2:14" ht="16.8" customHeight="1" x14ac:dyDescent="0.25"/>
    <row r="48" spans="2:14" ht="16.8" customHeight="1" thickBot="1" x14ac:dyDescent="0.3"/>
    <row r="49" spans="1:14" x14ac:dyDescent="0.25">
      <c r="B49" s="112" t="s">
        <v>88</v>
      </c>
      <c r="C49" s="113">
        <f>SUM(D41:M41)</f>
        <v>896381.73745163542</v>
      </c>
    </row>
    <row r="50" spans="1:14" x14ac:dyDescent="0.25">
      <c r="B50" s="114" t="s">
        <v>89</v>
      </c>
      <c r="C50" s="115">
        <f>NPV(C52,D44:M44)+C44</f>
        <v>-4.7730281949043274E-9</v>
      </c>
      <c r="N50" s="54"/>
    </row>
    <row r="51" spans="1:14" x14ac:dyDescent="0.25">
      <c r="B51" s="114" t="s">
        <v>116</v>
      </c>
      <c r="C51" s="183">
        <f>IRR(C44:M44)</f>
        <v>8.9999999999999192E-2</v>
      </c>
    </row>
    <row r="52" spans="1:14" ht="14.4" thickBot="1" x14ac:dyDescent="0.3">
      <c r="B52" s="116" t="s">
        <v>90</v>
      </c>
      <c r="C52" s="117">
        <v>0.09</v>
      </c>
    </row>
    <row r="58" spans="1:14" ht="14.4" thickBot="1" x14ac:dyDescent="0.3"/>
    <row r="59" spans="1:14" ht="19.2" customHeight="1" thickBot="1" x14ac:dyDescent="0.35">
      <c r="A59" s="354" t="s">
        <v>151</v>
      </c>
      <c r="B59" s="355"/>
      <c r="C59" s="355"/>
      <c r="D59" s="355"/>
      <c r="E59" s="355"/>
      <c r="F59" s="355"/>
      <c r="G59" s="355"/>
      <c r="H59" s="355"/>
      <c r="I59" s="355"/>
      <c r="J59" s="355"/>
      <c r="K59" s="355"/>
      <c r="L59" s="355"/>
      <c r="M59" s="356"/>
    </row>
    <row r="60" spans="1:14" x14ac:dyDescent="0.25">
      <c r="A60" s="273"/>
      <c r="B60" s="58" t="s">
        <v>123</v>
      </c>
      <c r="C60" s="58"/>
      <c r="D60" s="293">
        <v>694414</v>
      </c>
      <c r="E60" s="293">
        <v>694414</v>
      </c>
      <c r="F60" s="293">
        <v>694414</v>
      </c>
      <c r="G60" s="293">
        <v>694414</v>
      </c>
      <c r="H60" s="293">
        <v>694414</v>
      </c>
      <c r="I60" s="293">
        <v>694414</v>
      </c>
      <c r="J60" s="293">
        <v>694414</v>
      </c>
      <c r="K60" s="293">
        <v>694414</v>
      </c>
      <c r="L60" s="293">
        <v>694414</v>
      </c>
      <c r="M60" s="294">
        <v>694414</v>
      </c>
    </row>
    <row r="61" spans="1:14" x14ac:dyDescent="0.25">
      <c r="A61" s="276"/>
      <c r="B61" s="67" t="s">
        <v>168</v>
      </c>
      <c r="C61" s="67"/>
      <c r="D61" s="305">
        <f>D13</f>
        <v>1250</v>
      </c>
      <c r="E61" s="305">
        <f>D61+E13</f>
        <v>2725</v>
      </c>
      <c r="F61" s="305">
        <f t="shared" ref="F61:M61" si="91">E61+F13</f>
        <v>4465.5</v>
      </c>
      <c r="G61" s="305">
        <f t="shared" si="91"/>
        <v>6519.29</v>
      </c>
      <c r="H61" s="305">
        <f t="shared" si="91"/>
        <v>8942.762200000001</v>
      </c>
      <c r="I61" s="305">
        <f t="shared" si="91"/>
        <v>11802.459396000002</v>
      </c>
      <c r="J61" s="305">
        <f t="shared" si="91"/>
        <v>14662.156592000003</v>
      </c>
      <c r="K61" s="305">
        <f t="shared" si="91"/>
        <v>17521.853788000004</v>
      </c>
      <c r="L61" s="305">
        <f t="shared" si="91"/>
        <v>20381.550984000005</v>
      </c>
      <c r="M61" s="306">
        <f t="shared" si="91"/>
        <v>23241.248180000006</v>
      </c>
    </row>
    <row r="62" spans="1:14" x14ac:dyDescent="0.25">
      <c r="A62" s="276"/>
      <c r="B62" s="67" t="s">
        <v>170</v>
      </c>
      <c r="C62" s="67"/>
      <c r="D62" s="299">
        <f>D26</f>
        <v>949426.09204520006</v>
      </c>
      <c r="E62" s="299">
        <f>D62+E26</f>
        <v>1958119.3101436403</v>
      </c>
      <c r="F62" s="299">
        <f t="shared" ref="F62:M62" si="92">E62+F26</f>
        <v>3021566.5998742795</v>
      </c>
      <c r="G62" s="299">
        <f t="shared" si="92"/>
        <v>4155994.218688027</v>
      </c>
      <c r="H62" s="299">
        <f t="shared" si="92"/>
        <v>5372006.9377024146</v>
      </c>
      <c r="I62" s="299">
        <f t="shared" si="92"/>
        <v>6682265.9906551465</v>
      </c>
      <c r="J62" s="299">
        <f t="shared" si="92"/>
        <v>8025769.5769924279</v>
      </c>
      <c r="K62" s="299">
        <f t="shared" si="92"/>
        <v>9403440.5428999756</v>
      </c>
      <c r="L62" s="299">
        <f t="shared" si="92"/>
        <v>10816227.791029708</v>
      </c>
      <c r="M62" s="300">
        <f t="shared" si="92"/>
        <v>12265107.02655464</v>
      </c>
    </row>
    <row r="63" spans="1:14" x14ac:dyDescent="0.25">
      <c r="A63" s="276"/>
      <c r="B63" s="67"/>
      <c r="C63" s="295"/>
      <c r="D63" s="67"/>
      <c r="E63" s="67"/>
      <c r="F63" s="67"/>
      <c r="G63" s="67"/>
      <c r="H63" s="67"/>
      <c r="I63" s="67"/>
      <c r="J63" s="67"/>
      <c r="K63" s="67"/>
      <c r="L63" s="67"/>
      <c r="M63" s="68"/>
    </row>
    <row r="64" spans="1:14" x14ac:dyDescent="0.25">
      <c r="A64" s="350" t="s">
        <v>149</v>
      </c>
      <c r="B64" s="46" t="s">
        <v>124</v>
      </c>
      <c r="C64" s="296" t="s">
        <v>79</v>
      </c>
      <c r="D64" s="46">
        <v>647882.12037640554</v>
      </c>
      <c r="E64" s="46">
        <v>779790.92008504167</v>
      </c>
      <c r="F64" s="46">
        <v>938556.35141435626</v>
      </c>
      <c r="G64" s="46">
        <v>1129646.4245623192</v>
      </c>
      <c r="H64" s="46">
        <v>1359642.4366032074</v>
      </c>
      <c r="I64" s="46">
        <v>1636465.6366956204</v>
      </c>
      <c r="J64" s="46">
        <v>1669194.9494295327</v>
      </c>
      <c r="K64" s="46">
        <v>1702578.8484181236</v>
      </c>
      <c r="L64" s="46">
        <v>1736630.4253864859</v>
      </c>
      <c r="M64" s="49">
        <v>1771363.0338942157</v>
      </c>
    </row>
    <row r="65" spans="1:13" x14ac:dyDescent="0.25">
      <c r="A65" s="351"/>
      <c r="B65" s="67" t="s">
        <v>169</v>
      </c>
      <c r="C65" s="295"/>
      <c r="D65" s="67">
        <f>D64</f>
        <v>647882.12037640554</v>
      </c>
      <c r="E65" s="67">
        <f>D65+E64</f>
        <v>1427673.0404614471</v>
      </c>
      <c r="F65" s="67">
        <f t="shared" ref="F65:M65" si="93">E65+F64</f>
        <v>2366229.3918758035</v>
      </c>
      <c r="G65" s="67">
        <f t="shared" si="93"/>
        <v>3495875.8164381227</v>
      </c>
      <c r="H65" s="67">
        <f t="shared" si="93"/>
        <v>4855518.2530413298</v>
      </c>
      <c r="I65" s="67">
        <f t="shared" si="93"/>
        <v>6491983.8897369504</v>
      </c>
      <c r="J65" s="67">
        <f t="shared" si="93"/>
        <v>8161178.8391664829</v>
      </c>
      <c r="K65" s="67">
        <f t="shared" si="93"/>
        <v>9863757.6875846069</v>
      </c>
      <c r="L65" s="67">
        <f t="shared" si="93"/>
        <v>11600388.112971094</v>
      </c>
      <c r="M65" s="68">
        <f t="shared" si="93"/>
        <v>13371751.146865308</v>
      </c>
    </row>
    <row r="66" spans="1:13" x14ac:dyDescent="0.25">
      <c r="A66" s="351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8"/>
    </row>
    <row r="67" spans="1:13" x14ac:dyDescent="0.25">
      <c r="A67" s="351"/>
      <c r="B67" s="67" t="s">
        <v>148</v>
      </c>
      <c r="C67" s="299">
        <v>-694414</v>
      </c>
      <c r="D67" s="299">
        <v>-232102.5716687945</v>
      </c>
      <c r="E67" s="299">
        <v>-159460.8980133984</v>
      </c>
      <c r="F67" s="299">
        <v>-55449.538316282909</v>
      </c>
      <c r="G67" s="299">
        <v>64660.205748571549</v>
      </c>
      <c r="H67" s="299">
        <v>213071.11758881994</v>
      </c>
      <c r="I67" s="299">
        <v>395647.98374288785</v>
      </c>
      <c r="J67" s="299">
        <v>395132.76309225103</v>
      </c>
      <c r="K67" s="299">
        <v>333276.75702049636</v>
      </c>
      <c r="L67" s="299">
        <v>318560.50757797016</v>
      </c>
      <c r="M67" s="300">
        <v>317459.41067912016</v>
      </c>
    </row>
    <row r="68" spans="1:13" x14ac:dyDescent="0.25">
      <c r="A68" s="351"/>
      <c r="B68" s="67" t="s">
        <v>163</v>
      </c>
      <c r="C68" s="299"/>
      <c r="D68" s="299">
        <f>D67</f>
        <v>-232102.5716687945</v>
      </c>
      <c r="E68" s="299">
        <f>D68+E67</f>
        <v>-391563.4696821929</v>
      </c>
      <c r="F68" s="299">
        <f t="shared" ref="F68:M68" si="94">E68+F67</f>
        <v>-447013.0079984758</v>
      </c>
      <c r="G68" s="299">
        <f t="shared" si="94"/>
        <v>-382352.80224990426</v>
      </c>
      <c r="H68" s="299">
        <f t="shared" si="94"/>
        <v>-169281.68466108432</v>
      </c>
      <c r="I68" s="299">
        <f t="shared" si="94"/>
        <v>226366.29908180353</v>
      </c>
      <c r="J68" s="299">
        <f t="shared" si="94"/>
        <v>621499.06217405456</v>
      </c>
      <c r="K68" s="299">
        <f t="shared" si="94"/>
        <v>954775.81919455086</v>
      </c>
      <c r="L68" s="299">
        <f t="shared" si="94"/>
        <v>1273336.326772521</v>
      </c>
      <c r="M68" s="300">
        <f t="shared" si="94"/>
        <v>1590795.7374516411</v>
      </c>
    </row>
    <row r="69" spans="1:13" x14ac:dyDescent="0.25">
      <c r="A69" s="351"/>
      <c r="B69" s="67" t="s">
        <v>100</v>
      </c>
      <c r="C69" s="299"/>
      <c r="D69" s="299">
        <v>-212938.139145683</v>
      </c>
      <c r="E69" s="299">
        <v>-134215.04756619676</v>
      </c>
      <c r="F69" s="299">
        <v>-42817.217464846653</v>
      </c>
      <c r="G69" s="299">
        <v>45806.919904950824</v>
      </c>
      <c r="H69" s="299">
        <v>138481.60683463947</v>
      </c>
      <c r="I69" s="299">
        <v>235911.96565152318</v>
      </c>
      <c r="J69" s="299">
        <v>216151.15267102292</v>
      </c>
      <c r="K69" s="299">
        <v>167260.3661472816</v>
      </c>
      <c r="L69" s="299">
        <v>146674.10714571056</v>
      </c>
      <c r="M69" s="300">
        <v>134098.28582159703</v>
      </c>
    </row>
    <row r="70" spans="1:13" x14ac:dyDescent="0.25">
      <c r="A70" s="352"/>
      <c r="B70" s="63" t="s">
        <v>101</v>
      </c>
      <c r="C70" s="301"/>
      <c r="D70" s="301">
        <v>-212938.139145683</v>
      </c>
      <c r="E70" s="301">
        <v>-347153.1867118798</v>
      </c>
      <c r="F70" s="301">
        <v>-389970.40417672647</v>
      </c>
      <c r="G70" s="301">
        <v>-344163.48427177564</v>
      </c>
      <c r="H70" s="301">
        <v>-205681.87743713617</v>
      </c>
      <c r="I70" s="301">
        <v>30230.088214387011</v>
      </c>
      <c r="J70" s="301">
        <v>246381.24088540993</v>
      </c>
      <c r="K70" s="301">
        <v>413641.60703269154</v>
      </c>
      <c r="L70" s="301">
        <v>560315.71417840209</v>
      </c>
      <c r="M70" s="302">
        <v>694413.99999999907</v>
      </c>
    </row>
    <row r="71" spans="1:13" x14ac:dyDescent="0.25">
      <c r="A71" s="276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8"/>
    </row>
    <row r="72" spans="1:13" x14ac:dyDescent="0.25">
      <c r="A72" s="350" t="s">
        <v>150</v>
      </c>
      <c r="B72" s="46" t="s">
        <v>124</v>
      </c>
      <c r="C72" s="296" t="s">
        <v>79</v>
      </c>
      <c r="D72" s="46">
        <v>672500</v>
      </c>
      <c r="E72" s="46">
        <v>809421</v>
      </c>
      <c r="F72" s="46">
        <v>974219.1155999999</v>
      </c>
      <c r="G72" s="46">
        <v>1172570.1275361599</v>
      </c>
      <c r="H72" s="46">
        <v>1411305.4055025224</v>
      </c>
      <c r="I72" s="46">
        <v>1698647.1860628356</v>
      </c>
      <c r="J72" s="46">
        <v>1732620.1297840923</v>
      </c>
      <c r="K72" s="46">
        <v>1767272.5323797741</v>
      </c>
      <c r="L72" s="46">
        <v>1802617.9830273697</v>
      </c>
      <c r="M72" s="49">
        <v>1838670.3426879172</v>
      </c>
    </row>
    <row r="73" spans="1:13" x14ac:dyDescent="0.25">
      <c r="A73" s="351"/>
      <c r="B73" s="67" t="s">
        <v>169</v>
      </c>
      <c r="C73" s="295"/>
      <c r="D73" s="67">
        <f>D72</f>
        <v>672500</v>
      </c>
      <c r="E73" s="67">
        <f>D73+E72</f>
        <v>1481921</v>
      </c>
      <c r="F73" s="67">
        <f t="shared" ref="F73:M73" si="95">E73+F72</f>
        <v>2456140.1156000001</v>
      </c>
      <c r="G73" s="67">
        <f t="shared" si="95"/>
        <v>3628710.2431361601</v>
      </c>
      <c r="H73" s="67">
        <f t="shared" si="95"/>
        <v>5040015.6486386824</v>
      </c>
      <c r="I73" s="67">
        <f t="shared" si="95"/>
        <v>6738662.8347015176</v>
      </c>
      <c r="J73" s="67">
        <f t="shared" si="95"/>
        <v>8471282.9644856099</v>
      </c>
      <c r="K73" s="67">
        <f t="shared" si="95"/>
        <v>10238555.496865384</v>
      </c>
      <c r="L73" s="67">
        <f t="shared" si="95"/>
        <v>12041173.479892753</v>
      </c>
      <c r="M73" s="68">
        <f t="shared" si="95"/>
        <v>13879843.822580671</v>
      </c>
    </row>
    <row r="74" spans="1:13" x14ac:dyDescent="0.25">
      <c r="A74" s="351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8"/>
    </row>
    <row r="75" spans="1:13" x14ac:dyDescent="0.25">
      <c r="A75" s="351"/>
      <c r="B75" s="67" t="s">
        <v>148</v>
      </c>
      <c r="C75" s="299">
        <v>-694414</v>
      </c>
      <c r="D75" s="299">
        <v>-207484.69204520003</v>
      </c>
      <c r="E75" s="299">
        <v>-129830.81809844007</v>
      </c>
      <c r="F75" s="299">
        <v>-19786.774130639271</v>
      </c>
      <c r="G75" s="299">
        <v>107583.90872241231</v>
      </c>
      <c r="H75" s="299">
        <v>264734.08648813493</v>
      </c>
      <c r="I75" s="299">
        <v>457829.5331101031</v>
      </c>
      <c r="J75" s="299">
        <v>413491.99782310601</v>
      </c>
      <c r="K75" s="299">
        <v>371824.80284250376</v>
      </c>
      <c r="L75" s="299">
        <v>372010.42926708609</v>
      </c>
      <c r="M75" s="300">
        <v>371978.33080201835</v>
      </c>
    </row>
    <row r="76" spans="1:13" x14ac:dyDescent="0.25">
      <c r="A76" s="351"/>
      <c r="B76" s="67" t="s">
        <v>163</v>
      </c>
      <c r="C76" s="299" t="s">
        <v>164</v>
      </c>
      <c r="D76" s="299">
        <f>D75</f>
        <v>-207484.69204520003</v>
      </c>
      <c r="E76" s="299">
        <f>D76+E75</f>
        <v>-337315.5101436401</v>
      </c>
      <c r="F76" s="299">
        <f t="shared" ref="F76:M76" si="96">E76+F75</f>
        <v>-357102.28427427937</v>
      </c>
      <c r="G76" s="299">
        <f t="shared" si="96"/>
        <v>-249518.37555186707</v>
      </c>
      <c r="H76" s="299">
        <f t="shared" si="96"/>
        <v>15215.71093626786</v>
      </c>
      <c r="I76" s="299">
        <f t="shared" si="96"/>
        <v>473045.24404637096</v>
      </c>
      <c r="J76" s="299">
        <f t="shared" si="96"/>
        <v>886537.24186947697</v>
      </c>
      <c r="K76" s="299">
        <f t="shared" si="96"/>
        <v>1258362.0447119807</v>
      </c>
      <c r="L76" s="299">
        <f t="shared" si="96"/>
        <v>1630372.4739790668</v>
      </c>
      <c r="M76" s="300">
        <f t="shared" si="96"/>
        <v>2002350.8047810851</v>
      </c>
    </row>
    <row r="77" spans="1:13" x14ac:dyDescent="0.25">
      <c r="A77" s="351"/>
      <c r="B77" s="67" t="s">
        <v>100</v>
      </c>
      <c r="C77" s="299"/>
      <c r="D77" s="299">
        <v>-190352.92848183488</v>
      </c>
      <c r="E77" s="299">
        <v>-109276.00210288701</v>
      </c>
      <c r="F77" s="299">
        <v>-15279.020107379269</v>
      </c>
      <c r="G77" s="299">
        <v>76215.153243893772</v>
      </c>
      <c r="H77" s="299">
        <v>172058.99183165957</v>
      </c>
      <c r="I77" s="299">
        <v>272988.79187392059</v>
      </c>
      <c r="J77" s="299">
        <v>226194.2827779174</v>
      </c>
      <c r="K77" s="299">
        <v>186606.33049262787</v>
      </c>
      <c r="L77" s="299">
        <v>171283.93590435039</v>
      </c>
      <c r="M77" s="300">
        <v>157127.66686179207</v>
      </c>
    </row>
    <row r="78" spans="1:13" ht="14.4" thickBot="1" x14ac:dyDescent="0.3">
      <c r="A78" s="353"/>
      <c r="B78" s="64" t="s">
        <v>122</v>
      </c>
      <c r="C78" s="303"/>
      <c r="D78" s="303">
        <v>-190352.92848183488</v>
      </c>
      <c r="E78" s="303">
        <v>-299628.93058472191</v>
      </c>
      <c r="F78" s="303">
        <v>-314907.95069210115</v>
      </c>
      <c r="G78" s="303">
        <v>-238692.79744820739</v>
      </c>
      <c r="H78" s="303">
        <v>-66633.805616547819</v>
      </c>
      <c r="I78" s="303">
        <v>206354.98625737277</v>
      </c>
      <c r="J78" s="303">
        <v>432549.26903529017</v>
      </c>
      <c r="K78" s="303">
        <v>619155.59952791804</v>
      </c>
      <c r="L78" s="303">
        <v>790439.5354322684</v>
      </c>
      <c r="M78" s="304">
        <v>947567.20229406049</v>
      </c>
    </row>
  </sheetData>
  <mergeCells count="29">
    <mergeCell ref="V25:V26"/>
    <mergeCell ref="AJ28:AJ31"/>
    <mergeCell ref="AJ8:AJ11"/>
    <mergeCell ref="AJ12:AJ15"/>
    <mergeCell ref="AJ16:AJ19"/>
    <mergeCell ref="AJ20:AJ23"/>
    <mergeCell ref="AJ24:AJ27"/>
    <mergeCell ref="A64:A70"/>
    <mergeCell ref="A72:A78"/>
    <mergeCell ref="A59:M59"/>
    <mergeCell ref="Z7:AI7"/>
    <mergeCell ref="X8:X11"/>
    <mergeCell ref="X12:X15"/>
    <mergeCell ref="X16:X19"/>
    <mergeCell ref="X20:X23"/>
    <mergeCell ref="X24:X27"/>
    <mergeCell ref="X28:X31"/>
    <mergeCell ref="S7:T7"/>
    <mergeCell ref="U7:U8"/>
    <mergeCell ref="S25:S26"/>
    <mergeCell ref="T25:T26"/>
    <mergeCell ref="U25:U26"/>
    <mergeCell ref="S23:V23"/>
    <mergeCell ref="E1:F1"/>
    <mergeCell ref="I1:L1"/>
    <mergeCell ref="B6:M6"/>
    <mergeCell ref="P6:Q6"/>
    <mergeCell ref="S6:U6"/>
    <mergeCell ref="B3:B4"/>
  </mergeCells>
  <pageMargins left="1.3779527559055118" right="1.3779527559055118" top="1.3779527559055118" bottom="1.3779527559055118" header="0.51181102362204722" footer="0.51181102362204722"/>
  <pageSetup paperSize="9" scale="17" orientation="landscape" horizontalDpi="4294967294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29"/>
  <sheetViews>
    <sheetView zoomScale="70" zoomScaleNormal="70" workbookViewId="0">
      <selection activeCell="H40" sqref="H40"/>
    </sheetView>
  </sheetViews>
  <sheetFormatPr defaultRowHeight="14.4" x14ac:dyDescent="0.3"/>
  <cols>
    <col min="1" max="1" width="9.21875" customWidth="1"/>
    <col min="2" max="2" width="36.109375" bestFit="1" customWidth="1"/>
    <col min="3" max="3" width="10.109375" bestFit="1" customWidth="1"/>
    <col min="8" max="8" width="31.77734375" customWidth="1"/>
    <col min="9" max="9" width="14.5546875" customWidth="1"/>
    <col min="10" max="10" width="15.44140625" customWidth="1"/>
    <col min="11" max="11" width="11.77734375" bestFit="1" customWidth="1"/>
  </cols>
  <sheetData>
    <row r="1" spans="1:11" ht="15" thickBot="1" x14ac:dyDescent="0.35"/>
    <row r="2" spans="1:11" ht="18.600000000000001" thickBot="1" x14ac:dyDescent="0.4">
      <c r="A2" s="324" t="s">
        <v>133</v>
      </c>
      <c r="B2" s="325"/>
      <c r="C2" s="325"/>
      <c r="D2" s="326"/>
      <c r="H2" s="381" t="s">
        <v>108</v>
      </c>
      <c r="I2" s="382"/>
      <c r="J2" s="383"/>
      <c r="K2" s="241"/>
    </row>
    <row r="3" spans="1:11" x14ac:dyDescent="0.3">
      <c r="A3" s="327" t="s">
        <v>105</v>
      </c>
      <c r="B3" s="135" t="s">
        <v>0</v>
      </c>
      <c r="C3" s="11">
        <v>668602</v>
      </c>
      <c r="D3" s="2" t="s">
        <v>129</v>
      </c>
      <c r="H3" s="40" t="s">
        <v>64</v>
      </c>
      <c r="I3" s="41" t="s">
        <v>65</v>
      </c>
      <c r="J3" s="42" t="s">
        <v>67</v>
      </c>
      <c r="K3" s="242"/>
    </row>
    <row r="4" spans="1:11" x14ac:dyDescent="0.3">
      <c r="A4" s="328"/>
      <c r="B4" s="136" t="s">
        <v>1</v>
      </c>
      <c r="C4" s="12">
        <v>4.05</v>
      </c>
      <c r="D4" s="3" t="s">
        <v>130</v>
      </c>
      <c r="H4" s="30" t="s">
        <v>42</v>
      </c>
      <c r="I4" s="43">
        <f t="shared" ref="I4:I15" si="0">(J4/$J$16)</f>
        <v>6.0558852807989998E-2</v>
      </c>
      <c r="J4" s="245">
        <f>(C3/C11)/(C14*5)</f>
        <v>35.658773333333336</v>
      </c>
      <c r="K4" s="243"/>
    </row>
    <row r="5" spans="1:11" ht="16.2" customHeight="1" x14ac:dyDescent="0.3">
      <c r="A5" s="328"/>
      <c r="B5" s="136" t="s">
        <v>2</v>
      </c>
      <c r="C5" s="12">
        <v>0.27</v>
      </c>
      <c r="D5" s="3" t="s">
        <v>143</v>
      </c>
      <c r="H5" s="32" t="s">
        <v>44</v>
      </c>
      <c r="I5" s="43">
        <f t="shared" si="0"/>
        <v>6.5823080188918805E-3</v>
      </c>
      <c r="J5" s="245">
        <f>C19*C4*C26</f>
        <v>3.8758499999999994</v>
      </c>
      <c r="K5" s="243"/>
    </row>
    <row r="6" spans="1:11" x14ac:dyDescent="0.3">
      <c r="A6" s="328"/>
      <c r="B6" s="136" t="s">
        <v>131</v>
      </c>
      <c r="C6" s="12">
        <v>239</v>
      </c>
      <c r="D6" s="3" t="s">
        <v>132</v>
      </c>
      <c r="H6" s="32" t="s">
        <v>2</v>
      </c>
      <c r="I6" s="43">
        <f t="shared" si="0"/>
        <v>3.1914220697657611E-5</v>
      </c>
      <c r="J6" s="245">
        <f>(C19*60)*C27*(C5/1000)</f>
        <v>1.8792E-2</v>
      </c>
      <c r="K6" s="243"/>
    </row>
    <row r="7" spans="1:11" x14ac:dyDescent="0.3">
      <c r="A7" s="328"/>
      <c r="B7" s="136" t="s">
        <v>7</v>
      </c>
      <c r="C7" s="12">
        <v>13.51</v>
      </c>
      <c r="D7" s="3" t="s">
        <v>132</v>
      </c>
      <c r="H7" s="32" t="s">
        <v>45</v>
      </c>
      <c r="I7" s="43">
        <f t="shared" si="0"/>
        <v>8.1178147581313004E-2</v>
      </c>
      <c r="J7" s="245">
        <f>C20*C6</f>
        <v>47.800000000000004</v>
      </c>
      <c r="K7" s="243"/>
    </row>
    <row r="8" spans="1:11" x14ac:dyDescent="0.3">
      <c r="A8" s="328"/>
      <c r="B8" s="136" t="s">
        <v>134</v>
      </c>
      <c r="C8" s="12">
        <v>56.73</v>
      </c>
      <c r="D8" s="3" t="s">
        <v>132</v>
      </c>
      <c r="H8" s="32" t="s">
        <v>46</v>
      </c>
      <c r="I8" s="43">
        <f t="shared" si="0"/>
        <v>6.49425180650504E-2</v>
      </c>
      <c r="J8" s="245">
        <f>(C21*C25*C6)/(C14*C16)</f>
        <v>38.24</v>
      </c>
      <c r="K8" s="243"/>
    </row>
    <row r="9" spans="1:11" x14ac:dyDescent="0.3">
      <c r="A9" s="328"/>
      <c r="B9" s="136" t="s">
        <v>135</v>
      </c>
      <c r="C9" s="12">
        <v>13.51</v>
      </c>
      <c r="D9" s="3" t="s">
        <v>132</v>
      </c>
      <c r="H9" s="32" t="s">
        <v>7</v>
      </c>
      <c r="I9" s="43">
        <f t="shared" si="0"/>
        <v>3.6710184897859031E-3</v>
      </c>
      <c r="J9" s="245">
        <f>(C21*C25*C7)/(C14*5)</f>
        <v>2.1616</v>
      </c>
      <c r="K9" s="243"/>
    </row>
    <row r="10" spans="1:11" ht="15" thickBot="1" x14ac:dyDescent="0.35">
      <c r="A10" s="328"/>
      <c r="B10" s="136" t="s">
        <v>50</v>
      </c>
      <c r="C10" s="12">
        <v>216</v>
      </c>
      <c r="D10" s="3" t="s">
        <v>155</v>
      </c>
      <c r="H10" s="32" t="s">
        <v>134</v>
      </c>
      <c r="I10" s="43">
        <f t="shared" si="0"/>
        <v>2.8903156771681291E-2</v>
      </c>
      <c r="J10" s="245">
        <f>C23*C8*C22</f>
        <v>17.018999999999998</v>
      </c>
      <c r="K10" s="243"/>
    </row>
    <row r="11" spans="1:11" x14ac:dyDescent="0.3">
      <c r="A11" s="329" t="s">
        <v>107</v>
      </c>
      <c r="B11" s="5" t="s">
        <v>136</v>
      </c>
      <c r="C11" s="11">
        <v>15</v>
      </c>
      <c r="D11" s="2" t="s">
        <v>27</v>
      </c>
      <c r="H11" s="32" t="s">
        <v>156</v>
      </c>
      <c r="I11" s="43">
        <f t="shared" si="0"/>
        <v>1.5415016944896691E-2</v>
      </c>
      <c r="J11" s="245">
        <f>(C24*C25*C8)/(C14*C16)</f>
        <v>9.0768000000000004</v>
      </c>
      <c r="K11" s="243"/>
    </row>
    <row r="12" spans="1:11" x14ac:dyDescent="0.3">
      <c r="A12" s="330"/>
      <c r="B12" s="6" t="s">
        <v>62</v>
      </c>
      <c r="C12" s="12">
        <v>8</v>
      </c>
      <c r="D12" s="3" t="s">
        <v>28</v>
      </c>
      <c r="H12" s="32" t="s">
        <v>135</v>
      </c>
      <c r="I12" s="43">
        <f t="shared" si="0"/>
        <v>3.6710184897859031E-3</v>
      </c>
      <c r="J12" s="245">
        <f>(C25*C24*C9)/(C14*C16)</f>
        <v>2.1616</v>
      </c>
      <c r="K12" s="243"/>
    </row>
    <row r="13" spans="1:11" x14ac:dyDescent="0.3">
      <c r="A13" s="330"/>
      <c r="B13" s="6" t="s">
        <v>9</v>
      </c>
      <c r="C13" s="12">
        <v>1</v>
      </c>
      <c r="D13" s="3" t="s">
        <v>29</v>
      </c>
      <c r="H13" s="32" t="s">
        <v>51</v>
      </c>
      <c r="I13" s="43">
        <f t="shared" si="0"/>
        <v>0.58692819673853081</v>
      </c>
      <c r="J13" s="245">
        <f>(C10*C12)/('Mini SWASH II - Kalkulace P1'!D13/C14)</f>
        <v>345.6</v>
      </c>
      <c r="K13" s="243"/>
    </row>
    <row r="14" spans="1:11" x14ac:dyDescent="0.3">
      <c r="A14" s="330"/>
      <c r="B14" s="6" t="s">
        <v>10</v>
      </c>
      <c r="C14" s="12">
        <v>250</v>
      </c>
      <c r="D14" s="3" t="s">
        <v>30</v>
      </c>
      <c r="H14" s="32" t="s">
        <v>21</v>
      </c>
      <c r="I14" s="43">
        <f t="shared" si="0"/>
        <v>0.12333643912019403</v>
      </c>
      <c r="J14" s="245">
        <f>C28/(C16*C14/12)</f>
        <v>72.623999999999995</v>
      </c>
      <c r="K14" s="243"/>
    </row>
    <row r="15" spans="1:11" ht="15" thickBot="1" x14ac:dyDescent="0.35">
      <c r="A15" s="330"/>
      <c r="B15" s="6" t="s">
        <v>43</v>
      </c>
      <c r="C15" s="12">
        <v>2</v>
      </c>
      <c r="D15" s="3" t="s">
        <v>31</v>
      </c>
      <c r="H15" s="37" t="s">
        <v>49</v>
      </c>
      <c r="I15" s="44">
        <f t="shared" si="0"/>
        <v>2.4781412751182411E-2</v>
      </c>
      <c r="J15" s="246">
        <f>C29/(C14*C16)</f>
        <v>14.592000000000001</v>
      </c>
      <c r="K15" s="243"/>
    </row>
    <row r="16" spans="1:11" ht="15" thickBot="1" x14ac:dyDescent="0.35">
      <c r="A16" s="331"/>
      <c r="B16" s="7" t="s">
        <v>11</v>
      </c>
      <c r="C16" s="13">
        <v>5</v>
      </c>
      <c r="D16" s="4" t="s">
        <v>32</v>
      </c>
      <c r="H16" s="33" t="s">
        <v>52</v>
      </c>
      <c r="I16" s="34">
        <f>SUM(I4:I15)</f>
        <v>1</v>
      </c>
      <c r="J16" s="247">
        <f>SUM(J4:J15)</f>
        <v>588.8284153333334</v>
      </c>
      <c r="K16" s="244"/>
    </row>
    <row r="17" spans="1:4" x14ac:dyDescent="0.3">
      <c r="A17" s="380" t="s">
        <v>104</v>
      </c>
      <c r="B17" s="8" t="s">
        <v>137</v>
      </c>
      <c r="C17" s="11">
        <v>0.65</v>
      </c>
      <c r="D17" s="2" t="s">
        <v>33</v>
      </c>
    </row>
    <row r="18" spans="1:4" x14ac:dyDescent="0.3">
      <c r="A18" s="332"/>
      <c r="B18" s="9" t="s">
        <v>103</v>
      </c>
      <c r="C18" s="12">
        <v>1</v>
      </c>
      <c r="D18" s="3" t="s">
        <v>34</v>
      </c>
    </row>
    <row r="19" spans="1:4" x14ac:dyDescent="0.3">
      <c r="A19" s="332"/>
      <c r="B19" s="9" t="s">
        <v>13</v>
      </c>
      <c r="C19" s="12">
        <v>0.57999999999999996</v>
      </c>
      <c r="D19" s="3" t="s">
        <v>28</v>
      </c>
    </row>
    <row r="20" spans="1:4" x14ac:dyDescent="0.3">
      <c r="A20" s="332"/>
      <c r="B20" s="9" t="s">
        <v>14</v>
      </c>
      <c r="C20" s="12">
        <v>0.2</v>
      </c>
      <c r="D20" s="3" t="s">
        <v>35</v>
      </c>
    </row>
    <row r="21" spans="1:4" x14ac:dyDescent="0.3">
      <c r="A21" s="332"/>
      <c r="B21" s="204" t="s">
        <v>144</v>
      </c>
      <c r="C21" s="205">
        <v>50</v>
      </c>
      <c r="D21" s="206" t="s">
        <v>36</v>
      </c>
    </row>
    <row r="22" spans="1:4" x14ac:dyDescent="0.3">
      <c r="A22" s="332"/>
      <c r="B22" s="9" t="s">
        <v>138</v>
      </c>
      <c r="C22" s="12">
        <v>0.15</v>
      </c>
      <c r="D22" s="3" t="s">
        <v>141</v>
      </c>
    </row>
    <row r="23" spans="1:4" x14ac:dyDescent="0.3">
      <c r="A23" s="332"/>
      <c r="B23" s="9" t="s">
        <v>139</v>
      </c>
      <c r="C23" s="12">
        <v>2</v>
      </c>
      <c r="D23" s="3" t="s">
        <v>140</v>
      </c>
    </row>
    <row r="24" spans="1:4" x14ac:dyDescent="0.3">
      <c r="A24" s="332"/>
      <c r="B24" s="9" t="s">
        <v>145</v>
      </c>
      <c r="C24" s="207">
        <v>50</v>
      </c>
      <c r="D24" s="208" t="s">
        <v>36</v>
      </c>
    </row>
    <row r="25" spans="1:4" x14ac:dyDescent="0.3">
      <c r="A25" s="332"/>
      <c r="B25" s="204" t="s">
        <v>146</v>
      </c>
      <c r="C25" s="207">
        <v>4</v>
      </c>
      <c r="D25" s="209"/>
    </row>
    <row r="26" spans="1:4" x14ac:dyDescent="0.3">
      <c r="A26" s="332"/>
      <c r="B26" s="9" t="s">
        <v>142</v>
      </c>
      <c r="C26" s="12">
        <v>1.65</v>
      </c>
      <c r="D26" s="3" t="s">
        <v>37</v>
      </c>
    </row>
    <row r="27" spans="1:4" x14ac:dyDescent="0.3">
      <c r="A27" s="332"/>
      <c r="B27" s="9" t="s">
        <v>20</v>
      </c>
      <c r="C27" s="12">
        <v>2</v>
      </c>
      <c r="D27" s="3" t="s">
        <v>38</v>
      </c>
    </row>
    <row r="28" spans="1:4" x14ac:dyDescent="0.3">
      <c r="A28" s="332"/>
      <c r="B28" s="9" t="s">
        <v>21</v>
      </c>
      <c r="C28" s="12">
        <v>7565</v>
      </c>
      <c r="D28" s="3" t="s">
        <v>166</v>
      </c>
    </row>
    <row r="29" spans="1:4" ht="15" thickBot="1" x14ac:dyDescent="0.35">
      <c r="A29" s="333"/>
      <c r="B29" s="10" t="s">
        <v>22</v>
      </c>
      <c r="C29" s="13">
        <v>18240</v>
      </c>
      <c r="D29" s="4" t="s">
        <v>167</v>
      </c>
    </row>
  </sheetData>
  <mergeCells count="5">
    <mergeCell ref="A2:D2"/>
    <mergeCell ref="A3:A10"/>
    <mergeCell ref="A11:A16"/>
    <mergeCell ref="A17:A29"/>
    <mergeCell ref="H2:J2"/>
  </mergeCells>
  <pageMargins left="0.7" right="0.7" top="0.78740157499999996" bottom="0.78740157499999996" header="0.3" footer="0.3"/>
  <pageSetup paperSize="9" orientation="portrait" horizontalDpi="4294967294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A80"/>
  <sheetViews>
    <sheetView topLeftCell="V22" zoomScaleNormal="100" workbookViewId="0">
      <selection activeCell="Y23" sqref="Y23"/>
    </sheetView>
  </sheetViews>
  <sheetFormatPr defaultRowHeight="14.4" x14ac:dyDescent="0.3"/>
  <cols>
    <col min="2" max="2" width="33.21875" customWidth="1"/>
    <col min="3" max="3" width="15.44140625" bestFit="1" customWidth="1"/>
    <col min="4" max="4" width="15.5546875" bestFit="1" customWidth="1"/>
    <col min="5" max="5" width="13.44140625" bestFit="1" customWidth="1"/>
    <col min="6" max="9" width="12" customWidth="1"/>
    <col min="10" max="11" width="15.5546875" bestFit="1" customWidth="1"/>
    <col min="12" max="12" width="13.33203125" customWidth="1"/>
    <col min="13" max="13" width="13.5546875" bestFit="1" customWidth="1"/>
    <col min="14" max="18" width="13.44140625" customWidth="1"/>
    <col min="21" max="21" width="9.109375" bestFit="1" customWidth="1"/>
    <col min="22" max="22" width="12.88671875" bestFit="1" customWidth="1"/>
    <col min="24" max="24" width="10.77734375" bestFit="1" customWidth="1"/>
    <col min="25" max="25" width="9.109375" customWidth="1"/>
    <col min="26" max="26" width="12.33203125" bestFit="1" customWidth="1"/>
  </cols>
  <sheetData>
    <row r="1" spans="2:26" ht="15" thickBot="1" x14ac:dyDescent="0.35">
      <c r="B1" s="55" t="s">
        <v>58</v>
      </c>
      <c r="C1" s="56">
        <v>0.02</v>
      </c>
      <c r="D1" s="1"/>
      <c r="H1" s="337" t="s">
        <v>57</v>
      </c>
      <c r="I1" s="338"/>
      <c r="J1" s="45">
        <v>0.03</v>
      </c>
      <c r="N1" s="337" t="s">
        <v>73</v>
      </c>
      <c r="O1" s="338"/>
      <c r="P1" s="338"/>
      <c r="Q1" s="338"/>
      <c r="R1" s="57">
        <v>0.18</v>
      </c>
    </row>
    <row r="2" spans="2:26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26" ht="16.2" thickBot="1" x14ac:dyDescent="0.35">
      <c r="B3" s="392" t="s">
        <v>54</v>
      </c>
      <c r="C3" s="248">
        <v>2015</v>
      </c>
      <c r="D3" s="249">
        <v>2016</v>
      </c>
      <c r="E3" s="249">
        <v>2017</v>
      </c>
      <c r="F3" s="249">
        <v>2018</v>
      </c>
      <c r="G3" s="249">
        <v>2019</v>
      </c>
      <c r="H3" s="249">
        <v>2020</v>
      </c>
      <c r="I3" s="249">
        <v>2021</v>
      </c>
      <c r="J3" s="249">
        <v>2022</v>
      </c>
      <c r="K3" s="249">
        <v>2023</v>
      </c>
      <c r="L3" s="249">
        <v>2024</v>
      </c>
      <c r="M3" s="249">
        <v>2025</v>
      </c>
      <c r="N3" s="249">
        <v>2026</v>
      </c>
      <c r="O3" s="249">
        <v>2027</v>
      </c>
      <c r="P3" s="249">
        <v>2028</v>
      </c>
      <c r="Q3" s="249">
        <v>2029</v>
      </c>
      <c r="R3" s="250">
        <v>2030</v>
      </c>
    </row>
    <row r="4" spans="2:26" ht="15" thickBot="1" x14ac:dyDescent="0.35">
      <c r="B4" s="393"/>
      <c r="C4" s="251">
        <v>0</v>
      </c>
      <c r="D4" s="252">
        <v>1</v>
      </c>
      <c r="E4" s="252">
        <v>2</v>
      </c>
      <c r="F4" s="252">
        <v>3</v>
      </c>
      <c r="G4" s="252">
        <v>4</v>
      </c>
      <c r="H4" s="252">
        <v>5</v>
      </c>
      <c r="I4" s="252">
        <v>6</v>
      </c>
      <c r="J4" s="252">
        <v>7</v>
      </c>
      <c r="K4" s="252">
        <v>8</v>
      </c>
      <c r="L4" s="252">
        <v>9</v>
      </c>
      <c r="M4" s="252">
        <v>10</v>
      </c>
      <c r="N4" s="252">
        <v>11</v>
      </c>
      <c r="O4" s="252">
        <v>12</v>
      </c>
      <c r="P4" s="252">
        <v>13</v>
      </c>
      <c r="Q4" s="252">
        <v>14</v>
      </c>
      <c r="R4" s="253">
        <v>15</v>
      </c>
    </row>
    <row r="5" spans="2:26" ht="27" customHeight="1" x14ac:dyDescent="0.3">
      <c r="B5" s="389" t="s">
        <v>75</v>
      </c>
      <c r="C5" s="390"/>
      <c r="D5" s="390"/>
      <c r="E5" s="390"/>
      <c r="F5" s="390"/>
      <c r="G5" s="390"/>
      <c r="H5" s="390"/>
      <c r="I5" s="390"/>
      <c r="J5" s="390"/>
      <c r="K5" s="390"/>
      <c r="L5" s="390"/>
      <c r="M5" s="390"/>
      <c r="N5" s="390"/>
      <c r="O5" s="390"/>
      <c r="P5" s="390"/>
      <c r="Q5" s="390"/>
      <c r="R5" s="391"/>
      <c r="U5" s="345" t="s">
        <v>117</v>
      </c>
      <c r="V5" s="346"/>
      <c r="X5" s="345" t="s">
        <v>120</v>
      </c>
      <c r="Y5" s="347"/>
      <c r="Z5" s="346"/>
    </row>
    <row r="6" spans="2:26" x14ac:dyDescent="0.3">
      <c r="B6" s="48" t="s">
        <v>68</v>
      </c>
      <c r="C6" s="73" t="s">
        <v>79</v>
      </c>
      <c r="D6" s="46">
        <f>'INJET 388-CRD - Náklady'!C10</f>
        <v>216</v>
      </c>
      <c r="E6" s="46">
        <f>D6+D6*$J$1</f>
        <v>222.48</v>
      </c>
      <c r="F6" s="46">
        <f t="shared" ref="F6:R6" si="0">E6+E6*$J$1</f>
        <v>229.15439999999998</v>
      </c>
      <c r="G6" s="46">
        <f t="shared" si="0"/>
        <v>236.02903199999997</v>
      </c>
      <c r="H6" s="46">
        <f t="shared" si="0"/>
        <v>243.10990295999997</v>
      </c>
      <c r="I6" s="46">
        <f t="shared" si="0"/>
        <v>250.40320004879996</v>
      </c>
      <c r="J6" s="46">
        <f t="shared" si="0"/>
        <v>257.91529605026398</v>
      </c>
      <c r="K6" s="46">
        <f t="shared" si="0"/>
        <v>265.65275493177188</v>
      </c>
      <c r="L6" s="46">
        <f t="shared" si="0"/>
        <v>273.62233757972501</v>
      </c>
      <c r="M6" s="46">
        <f t="shared" si="0"/>
        <v>281.83100770711678</v>
      </c>
      <c r="N6" s="46">
        <f t="shared" si="0"/>
        <v>290.28593793833028</v>
      </c>
      <c r="O6" s="46">
        <f t="shared" si="0"/>
        <v>298.99451607648018</v>
      </c>
      <c r="P6" s="46">
        <f t="shared" si="0"/>
        <v>307.96435155877458</v>
      </c>
      <c r="Q6" s="46">
        <f t="shared" si="0"/>
        <v>317.20328210553782</v>
      </c>
      <c r="R6" s="49">
        <f t="shared" si="0"/>
        <v>326.71938056870397</v>
      </c>
      <c r="U6" s="189" t="s">
        <v>118</v>
      </c>
      <c r="V6" s="190" t="s">
        <v>119</v>
      </c>
      <c r="X6" s="363" t="s">
        <v>118</v>
      </c>
      <c r="Y6" s="364"/>
      <c r="Z6" s="365" t="s">
        <v>121</v>
      </c>
    </row>
    <row r="7" spans="2:26" x14ac:dyDescent="0.3">
      <c r="B7" s="32" t="s">
        <v>69</v>
      </c>
      <c r="C7" s="74" t="s">
        <v>79</v>
      </c>
      <c r="D7" s="67">
        <f>'INJET 388-CRD - Náklady'!J7+'INJET 388-CRD - Náklady'!J8</f>
        <v>86.04</v>
      </c>
      <c r="E7" s="67">
        <f>D7+(D7*$C$1)</f>
        <v>87.760800000000003</v>
      </c>
      <c r="F7" s="67">
        <f t="shared" ref="F7:R7" si="1">E7+(E7*$C$1)</f>
        <v>89.516016000000008</v>
      </c>
      <c r="G7" s="67">
        <f t="shared" si="1"/>
        <v>91.306336320000014</v>
      </c>
      <c r="H7" s="67">
        <f t="shared" si="1"/>
        <v>93.132463046400019</v>
      </c>
      <c r="I7" s="67">
        <f t="shared" si="1"/>
        <v>94.995112307328014</v>
      </c>
      <c r="J7" s="67">
        <f t="shared" si="1"/>
        <v>96.895014553474581</v>
      </c>
      <c r="K7" s="67">
        <f t="shared" si="1"/>
        <v>98.832914844544078</v>
      </c>
      <c r="L7" s="67">
        <f t="shared" si="1"/>
        <v>100.80957314143495</v>
      </c>
      <c r="M7" s="67">
        <f t="shared" si="1"/>
        <v>102.82576460426365</v>
      </c>
      <c r="N7" s="67">
        <f t="shared" si="1"/>
        <v>104.88227989634893</v>
      </c>
      <c r="O7" s="67">
        <f t="shared" si="1"/>
        <v>106.97992549427592</v>
      </c>
      <c r="P7" s="67">
        <f t="shared" si="1"/>
        <v>109.11952400416143</v>
      </c>
      <c r="Q7" s="67">
        <f t="shared" si="1"/>
        <v>111.30191448424466</v>
      </c>
      <c r="R7" s="68">
        <f t="shared" si="1"/>
        <v>113.52795277392956</v>
      </c>
      <c r="U7" s="185">
        <v>0</v>
      </c>
      <c r="V7" s="184">
        <v>431</v>
      </c>
      <c r="X7" s="194">
        <v>431</v>
      </c>
      <c r="Y7" s="195">
        <v>448</v>
      </c>
      <c r="Z7" s="366"/>
    </row>
    <row r="8" spans="2:26" x14ac:dyDescent="0.3">
      <c r="B8" s="32" t="s">
        <v>157</v>
      </c>
      <c r="C8" s="74" t="s">
        <v>79</v>
      </c>
      <c r="D8" s="67">
        <f>'INJET 388-CRD - Náklady'!J10+'INJET 388-CRD - Náklady'!J11</f>
        <v>26.095799999999997</v>
      </c>
      <c r="E8" s="67">
        <f>D8+D8*$C$1</f>
        <v>26.617715999999998</v>
      </c>
      <c r="F8" s="67">
        <f t="shared" ref="F8:R8" si="2">E8+E8*$C$1</f>
        <v>27.150070319999998</v>
      </c>
      <c r="G8" s="67">
        <f t="shared" si="2"/>
        <v>27.693071726399996</v>
      </c>
      <c r="H8" s="67">
        <f t="shared" si="2"/>
        <v>28.246933160927995</v>
      </c>
      <c r="I8" s="67">
        <f t="shared" si="2"/>
        <v>28.811871824146554</v>
      </c>
      <c r="J8" s="67">
        <f t="shared" si="2"/>
        <v>29.388109260629484</v>
      </c>
      <c r="K8" s="67">
        <f t="shared" si="2"/>
        <v>29.975871445842074</v>
      </c>
      <c r="L8" s="67">
        <f t="shared" si="2"/>
        <v>30.575388874758914</v>
      </c>
      <c r="M8" s="67">
        <f t="shared" si="2"/>
        <v>31.186896652254092</v>
      </c>
      <c r="N8" s="67">
        <f t="shared" si="2"/>
        <v>31.810634585299173</v>
      </c>
      <c r="O8" s="67">
        <f t="shared" si="2"/>
        <v>32.446847277005155</v>
      </c>
      <c r="P8" s="67">
        <f t="shared" si="2"/>
        <v>33.095784222545255</v>
      </c>
      <c r="Q8" s="67">
        <f t="shared" si="2"/>
        <v>33.757699906996159</v>
      </c>
      <c r="R8" s="68">
        <f t="shared" si="2"/>
        <v>34.432853905136085</v>
      </c>
      <c r="U8" s="185">
        <v>500</v>
      </c>
      <c r="V8" s="186">
        <v>458</v>
      </c>
      <c r="X8" s="185">
        <v>491</v>
      </c>
      <c r="Y8" s="196">
        <v>942</v>
      </c>
      <c r="Z8" s="192">
        <v>0.04</v>
      </c>
    </row>
    <row r="9" spans="2:26" ht="15" thickBot="1" x14ac:dyDescent="0.35">
      <c r="B9" s="32" t="s">
        <v>70</v>
      </c>
      <c r="C9" s="74" t="s">
        <v>79</v>
      </c>
      <c r="D9" s="67">
        <f>'INJET 388-CRD - Náklady'!J14</f>
        <v>72.623999999999995</v>
      </c>
      <c r="E9" s="67">
        <f>D9+D9*$C$1</f>
        <v>74.076479999999989</v>
      </c>
      <c r="F9" s="67">
        <f t="shared" ref="F9:R10" si="3">E9+E9*$C$1</f>
        <v>75.558009599999991</v>
      </c>
      <c r="G9" s="67">
        <f t="shared" si="3"/>
        <v>77.069169791999997</v>
      </c>
      <c r="H9" s="67">
        <f t="shared" si="3"/>
        <v>78.610553187839997</v>
      </c>
      <c r="I9" s="67">
        <f t="shared" si="3"/>
        <v>80.182764251596794</v>
      </c>
      <c r="J9" s="67">
        <f t="shared" si="3"/>
        <v>81.786419536628728</v>
      </c>
      <c r="K9" s="67">
        <f t="shared" si="3"/>
        <v>83.422147927361308</v>
      </c>
      <c r="L9" s="67">
        <f t="shared" si="3"/>
        <v>85.09059088590854</v>
      </c>
      <c r="M9" s="67">
        <f t="shared" si="3"/>
        <v>86.792402703626706</v>
      </c>
      <c r="N9" s="67">
        <f t="shared" si="3"/>
        <v>88.52825075769924</v>
      </c>
      <c r="O9" s="67">
        <f t="shared" si="3"/>
        <v>90.298815772853231</v>
      </c>
      <c r="P9" s="67">
        <f t="shared" si="3"/>
        <v>92.10479208831029</v>
      </c>
      <c r="Q9" s="67">
        <f t="shared" si="3"/>
        <v>93.9468879300765</v>
      </c>
      <c r="R9" s="68">
        <f t="shared" si="3"/>
        <v>95.825825688678023</v>
      </c>
      <c r="U9" s="187">
        <v>1000</v>
      </c>
      <c r="V9" s="188">
        <v>487</v>
      </c>
      <c r="X9" s="185">
        <v>370</v>
      </c>
      <c r="Y9" s="197">
        <v>788</v>
      </c>
      <c r="Z9" s="192">
        <v>0.05</v>
      </c>
    </row>
    <row r="10" spans="2:26" ht="15" thickBot="1" x14ac:dyDescent="0.35">
      <c r="B10" s="37" t="s">
        <v>76</v>
      </c>
      <c r="C10" s="75" t="s">
        <v>79</v>
      </c>
      <c r="D10" s="64">
        <f>'INJET 388-CRD - Náklady'!C29</f>
        <v>18240</v>
      </c>
      <c r="E10" s="64">
        <f>D10+D10*$C$1</f>
        <v>18604.8</v>
      </c>
      <c r="F10" s="64">
        <f t="shared" ref="F10:M10" si="4">E10+E10*$C$1</f>
        <v>18976.896000000001</v>
      </c>
      <c r="G10" s="64">
        <f t="shared" si="4"/>
        <v>19356.433919999999</v>
      </c>
      <c r="H10" s="64">
        <f t="shared" si="4"/>
        <v>19743.5625984</v>
      </c>
      <c r="I10" s="64">
        <f t="shared" si="4"/>
        <v>20138.433850368001</v>
      </c>
      <c r="J10" s="64">
        <f t="shared" si="4"/>
        <v>20541.202527375361</v>
      </c>
      <c r="K10" s="64">
        <f t="shared" si="4"/>
        <v>20952.026577922868</v>
      </c>
      <c r="L10" s="64">
        <f t="shared" si="4"/>
        <v>21371.067109481326</v>
      </c>
      <c r="M10" s="64">
        <f t="shared" si="4"/>
        <v>21798.488451670954</v>
      </c>
      <c r="N10" s="64">
        <f t="shared" si="3"/>
        <v>22234.458220704371</v>
      </c>
      <c r="O10" s="64">
        <f t="shared" si="3"/>
        <v>22679.14738511846</v>
      </c>
      <c r="P10" s="64">
        <f t="shared" si="3"/>
        <v>23132.730332820829</v>
      </c>
      <c r="Q10" s="64">
        <f t="shared" si="3"/>
        <v>23595.384939477244</v>
      </c>
      <c r="R10" s="65">
        <f t="shared" si="3"/>
        <v>24067.29263826679</v>
      </c>
      <c r="X10" s="185">
        <v>262</v>
      </c>
      <c r="Y10" s="197">
        <v>649</v>
      </c>
      <c r="Z10" s="192">
        <v>0.06</v>
      </c>
    </row>
    <row r="11" spans="2:26" ht="15" thickBot="1" x14ac:dyDescent="0.35">
      <c r="X11" s="185">
        <v>165</v>
      </c>
      <c r="Y11" s="197">
        <v>526</v>
      </c>
      <c r="Z11" s="192">
        <v>7.0000000000000007E-2</v>
      </c>
    </row>
    <row r="12" spans="2:26" x14ac:dyDescent="0.3">
      <c r="B12" s="254" t="s">
        <v>71</v>
      </c>
      <c r="C12" s="255" t="s">
        <v>79</v>
      </c>
      <c r="D12" s="256">
        <v>430.69849113750973</v>
      </c>
      <c r="E12" s="256">
        <f>D12+D12*$C$1</f>
        <v>439.31246096025995</v>
      </c>
      <c r="F12" s="256">
        <f t="shared" ref="F12:M12" si="5">E12+E12*$C$1</f>
        <v>448.09871017946517</v>
      </c>
      <c r="G12" s="256">
        <f t="shared" si="5"/>
        <v>457.06068438305448</v>
      </c>
      <c r="H12" s="256">
        <f t="shared" si="5"/>
        <v>466.20189807071557</v>
      </c>
      <c r="I12" s="256">
        <f t="shared" si="5"/>
        <v>475.52593603212989</v>
      </c>
      <c r="J12" s="256">
        <f t="shared" si="5"/>
        <v>485.0364547527725</v>
      </c>
      <c r="K12" s="256">
        <f t="shared" si="5"/>
        <v>494.73718384782796</v>
      </c>
      <c r="L12" s="256">
        <f t="shared" si="5"/>
        <v>504.63192752478454</v>
      </c>
      <c r="M12" s="256">
        <f t="shared" si="5"/>
        <v>514.72456607528022</v>
      </c>
      <c r="N12" s="256">
        <f t="shared" ref="N12" si="6">M12+M12*$C$1</f>
        <v>525.0190573967858</v>
      </c>
      <c r="O12" s="256">
        <f t="shared" ref="O12" si="7">N12+N12*$C$1</f>
        <v>535.51943854472154</v>
      </c>
      <c r="P12" s="256">
        <f t="shared" ref="P12" si="8">O12+O12*$C$1</f>
        <v>546.22982731561592</v>
      </c>
      <c r="Q12" s="256">
        <f t="shared" ref="Q12" si="9">P12+P12*$C$1</f>
        <v>557.15442386192819</v>
      </c>
      <c r="R12" s="257">
        <f t="shared" ref="R12" si="10">Q12+Q12*$C$1</f>
        <v>568.29751233916681</v>
      </c>
      <c r="X12" s="185">
        <v>78</v>
      </c>
      <c r="Y12" s="197">
        <v>414</v>
      </c>
      <c r="Z12" s="192">
        <v>0.08</v>
      </c>
    </row>
    <row r="13" spans="2:26" ht="15" thickBot="1" x14ac:dyDescent="0.35">
      <c r="B13" s="37" t="s">
        <v>53</v>
      </c>
      <c r="C13" s="75" t="s">
        <v>79</v>
      </c>
      <c r="D13" s="60">
        <v>1250</v>
      </c>
      <c r="E13" s="61">
        <f>D13+D13*$R$1</f>
        <v>1475</v>
      </c>
      <c r="F13" s="61">
        <f>E13+E13*$R$1</f>
        <v>1740.5</v>
      </c>
      <c r="G13" s="61">
        <f t="shared" ref="G13:H13" si="11">F13+F13*$R$1</f>
        <v>2053.79</v>
      </c>
      <c r="H13" s="61">
        <f t="shared" si="11"/>
        <v>2423.4722000000002</v>
      </c>
      <c r="I13" s="61">
        <f>H13+H13*$R$1</f>
        <v>2859.6971960000001</v>
      </c>
      <c r="J13" s="61">
        <f>I13</f>
        <v>2859.6971960000001</v>
      </c>
      <c r="K13" s="61">
        <f t="shared" ref="K13:M13" si="12">J13</f>
        <v>2859.6971960000001</v>
      </c>
      <c r="L13" s="61">
        <f t="shared" si="12"/>
        <v>2859.6971960000001</v>
      </c>
      <c r="M13" s="61">
        <f t="shared" si="12"/>
        <v>2859.6971960000001</v>
      </c>
      <c r="N13" s="61">
        <f t="shared" ref="N13" si="13">M13</f>
        <v>2859.6971960000001</v>
      </c>
      <c r="O13" s="61">
        <f t="shared" ref="O13" si="14">N13</f>
        <v>2859.6971960000001</v>
      </c>
      <c r="P13" s="61">
        <f t="shared" ref="P13" si="15">O13</f>
        <v>2859.6971960000001</v>
      </c>
      <c r="Q13" s="61">
        <f t="shared" ref="Q13" si="16">P13</f>
        <v>2859.6971960000001</v>
      </c>
      <c r="R13" s="62">
        <f t="shared" ref="R13" si="17">Q13</f>
        <v>2859.6971960000001</v>
      </c>
      <c r="X13" s="185">
        <v>0</v>
      </c>
      <c r="Y13" s="197">
        <v>314</v>
      </c>
      <c r="Z13" s="192">
        <v>0.09</v>
      </c>
    </row>
    <row r="14" spans="2:26" ht="15" thickBot="1" x14ac:dyDescent="0.35">
      <c r="X14" s="185">
        <v>-70</v>
      </c>
      <c r="Y14" s="197">
        <v>224</v>
      </c>
      <c r="Z14" s="192">
        <v>0.1</v>
      </c>
    </row>
    <row r="15" spans="2:26" ht="15" thickBot="1" x14ac:dyDescent="0.35">
      <c r="B15" s="258" t="s">
        <v>72</v>
      </c>
      <c r="C15" s="259" t="s">
        <v>79</v>
      </c>
      <c r="D15" s="260">
        <f>D13*D12</f>
        <v>538373.11392188712</v>
      </c>
      <c r="E15" s="260">
        <f t="shared" ref="E15:R15" si="18">E13*E12</f>
        <v>647985.87991638342</v>
      </c>
      <c r="F15" s="260">
        <f t="shared" si="18"/>
        <v>779915.80506735912</v>
      </c>
      <c r="G15" s="260">
        <f t="shared" si="18"/>
        <v>938706.66297907347</v>
      </c>
      <c r="H15" s="260">
        <f t="shared" si="18"/>
        <v>1129827.3395616128</v>
      </c>
      <c r="I15" s="260">
        <f t="shared" si="18"/>
        <v>1359860.1858963573</v>
      </c>
      <c r="J15" s="260">
        <f t="shared" si="18"/>
        <v>1387057.3896142845</v>
      </c>
      <c r="K15" s="260">
        <f t="shared" si="18"/>
        <v>1414798.53740657</v>
      </c>
      <c r="L15" s="260">
        <f t="shared" si="18"/>
        <v>1443094.5081547017</v>
      </c>
      <c r="M15" s="260">
        <f t="shared" si="18"/>
        <v>1471956.3983177957</v>
      </c>
      <c r="N15" s="260">
        <f t="shared" si="18"/>
        <v>1501395.5262841515</v>
      </c>
      <c r="O15" s="260">
        <f t="shared" si="18"/>
        <v>1531423.4368098346</v>
      </c>
      <c r="P15" s="260">
        <f t="shared" si="18"/>
        <v>1562051.9055460312</v>
      </c>
      <c r="Q15" s="260">
        <f t="shared" si="18"/>
        <v>1593292.9436569517</v>
      </c>
      <c r="R15" s="261">
        <f t="shared" si="18"/>
        <v>1625158.8025300908</v>
      </c>
      <c r="X15" s="185">
        <v>-134</v>
      </c>
      <c r="Y15" s="197">
        <v>142</v>
      </c>
      <c r="Z15" s="192">
        <v>0.11</v>
      </c>
    </row>
    <row r="16" spans="2:26" ht="15" thickBot="1" x14ac:dyDescent="0.35">
      <c r="X16" s="185">
        <v>-191</v>
      </c>
      <c r="Y16" s="197">
        <v>68</v>
      </c>
      <c r="Z16" s="192">
        <v>0.12</v>
      </c>
    </row>
    <row r="17" spans="2:27" x14ac:dyDescent="0.3">
      <c r="B17" s="66" t="s">
        <v>55</v>
      </c>
      <c r="C17" s="220" t="s">
        <v>79</v>
      </c>
      <c r="D17" s="58">
        <f>D13*('INJET 388-CRD - Náklady'!$J$5+'INJET 388-CRD - Náklady'!$J$6)</f>
        <v>4868.3024999999989</v>
      </c>
      <c r="E17" s="58">
        <f>E13*('INJET 388-CRD - Náklady'!$J$5+'INJET 388-CRD - Náklady'!$J$6)</f>
        <v>5744.5969499999992</v>
      </c>
      <c r="F17" s="58">
        <f>F13*('INJET 388-CRD - Náklady'!$J$5+'INJET 388-CRD - Náklady'!$J$6)</f>
        <v>6778.6244009999991</v>
      </c>
      <c r="G17" s="58">
        <f>G13*('INJET 388-CRD - Náklady'!$J$5+'INJET 388-CRD - Náklady'!$J$6)</f>
        <v>7998.7767931799981</v>
      </c>
      <c r="H17" s="58">
        <f>H13*('INJET 388-CRD - Náklady'!$J$5+'INJET 388-CRD - Náklady'!$J$6)</f>
        <v>9438.5566159523987</v>
      </c>
      <c r="I17" s="58">
        <f>I13*('INJET 388-CRD - Náklady'!$J$5+'INJET 388-CRD - Náklady'!$J$6)</f>
        <v>11137.49680682383</v>
      </c>
      <c r="J17" s="58">
        <f>J13*('INJET 388-CRD - Náklady'!$J$5+'INJET 388-CRD - Náklady'!$J$6)</f>
        <v>11137.49680682383</v>
      </c>
      <c r="K17" s="58">
        <f>K13*('INJET 388-CRD - Náklady'!$J$5+'INJET 388-CRD - Náklady'!$J$6)</f>
        <v>11137.49680682383</v>
      </c>
      <c r="L17" s="58">
        <f>L13*('INJET 388-CRD - Náklady'!$J$5+'INJET 388-CRD - Náklady'!$J$6)</f>
        <v>11137.49680682383</v>
      </c>
      <c r="M17" s="58">
        <f>M13*('INJET 388-CRD - Náklady'!$J$5+'INJET 388-CRD - Náklady'!$J$6)</f>
        <v>11137.49680682383</v>
      </c>
      <c r="N17" s="58">
        <f>N13*('INJET 388-CRD - Náklady'!$J$5+'INJET 388-CRD - Náklady'!$J$6)</f>
        <v>11137.49680682383</v>
      </c>
      <c r="O17" s="58">
        <f>O13*('INJET 388-CRD - Náklady'!$J$5+'INJET 388-CRD - Náklady'!$J$6)</f>
        <v>11137.49680682383</v>
      </c>
      <c r="P17" s="58">
        <f>P13*('INJET 388-CRD - Náklady'!$J$5+'INJET 388-CRD - Náklady'!$J$6)</f>
        <v>11137.49680682383</v>
      </c>
      <c r="Q17" s="58">
        <f>Q13*('INJET 388-CRD - Náklady'!$J$5+'INJET 388-CRD - Náklady'!$J$6)</f>
        <v>11137.49680682383</v>
      </c>
      <c r="R17" s="59">
        <f>R13*('INJET 388-CRD - Náklady'!$J$5+'INJET 388-CRD - Náklady'!$J$6)</f>
        <v>11137.49680682383</v>
      </c>
      <c r="X17" s="185">
        <v>-243</v>
      </c>
      <c r="Y17" s="197">
        <v>1.5</v>
      </c>
      <c r="Z17" s="192">
        <v>0.13</v>
      </c>
    </row>
    <row r="18" spans="2:27" x14ac:dyDescent="0.3">
      <c r="B18" s="32" t="s">
        <v>63</v>
      </c>
      <c r="C18" s="85" t="s">
        <v>79</v>
      </c>
      <c r="D18" s="67">
        <f>D6*'INJET 388-CRD - Náklady'!$C$12*'INJET 388-CRD - Náklady'!$C$14</f>
        <v>432000</v>
      </c>
      <c r="E18" s="67">
        <f>E6*'INJET 388-CRD - Náklady'!$C$12*'INJET 388-CRD - Náklady'!$C$14</f>
        <v>444960</v>
      </c>
      <c r="F18" s="67">
        <f>F6*'INJET 388-CRD - Náklady'!$C$12*'INJET 388-CRD - Náklady'!$C$14</f>
        <v>458308.8</v>
      </c>
      <c r="G18" s="67">
        <f>G6*'INJET 388-CRD - Náklady'!$C$12*'INJET 388-CRD - Náklady'!$C$14</f>
        <v>472058.06399999995</v>
      </c>
      <c r="H18" s="67">
        <f>H6*'INJET 388-CRD - Náklady'!$C$12*'INJET 388-CRD - Náklady'!$C$14</f>
        <v>486219.80591999996</v>
      </c>
      <c r="I18" s="67">
        <f>I6*'INJET 388-CRD - Náklady'!$C$12*'INJET 388-CRD - Náklady'!$C$14</f>
        <v>500806.40009759989</v>
      </c>
      <c r="J18" s="67">
        <f>J6*'INJET 388-CRD - Náklady'!$C$12*'INJET 388-CRD - Náklady'!$C$14</f>
        <v>515830.59210052795</v>
      </c>
      <c r="K18" s="67">
        <f>K6*'INJET 388-CRD - Náklady'!$C$12*'INJET 388-CRD - Náklady'!$C$14</f>
        <v>531305.50986354379</v>
      </c>
      <c r="L18" s="67">
        <f>L6*'INJET 388-CRD - Náklady'!$C$12*'INJET 388-CRD - Náklady'!$C$14</f>
        <v>547244.67515945004</v>
      </c>
      <c r="M18" s="67">
        <f>M6*'INJET 388-CRD - Náklady'!$C$12*'INJET 388-CRD - Náklady'!$C$14</f>
        <v>563662.01541423355</v>
      </c>
      <c r="N18" s="67">
        <f>N6*'INJET 388-CRD - Náklady'!$C$12*'INJET 388-CRD - Náklady'!$C$14</f>
        <v>580571.87587666058</v>
      </c>
      <c r="O18" s="67">
        <f>O6*'INJET 388-CRD - Náklady'!$C$12*'INJET 388-CRD - Náklady'!$C$14</f>
        <v>597989.03215296031</v>
      </c>
      <c r="P18" s="67">
        <f>P6*'INJET 388-CRD - Náklady'!$C$12*'INJET 388-CRD - Náklady'!$C$14</f>
        <v>615928.70311754919</v>
      </c>
      <c r="Q18" s="67">
        <f>Q6*'INJET 388-CRD - Náklady'!$C$12*'INJET 388-CRD - Náklady'!$C$14</f>
        <v>634406.56421107566</v>
      </c>
      <c r="R18" s="68">
        <f>R6*'INJET 388-CRD - Náklady'!$C$12*'INJET 388-CRD - Náklady'!$C$14</f>
        <v>653438.76113740797</v>
      </c>
      <c r="X18" s="185">
        <v>-290</v>
      </c>
      <c r="Y18" s="197">
        <v>-59</v>
      </c>
      <c r="Z18" s="192">
        <v>0.14000000000000001</v>
      </c>
    </row>
    <row r="19" spans="2:27" ht="15" thickBot="1" x14ac:dyDescent="0.35">
      <c r="B19" s="32" t="s">
        <v>45</v>
      </c>
      <c r="C19" s="85" t="s">
        <v>79</v>
      </c>
      <c r="D19" s="67">
        <f>D7*D13</f>
        <v>107550.00000000001</v>
      </c>
      <c r="E19" s="67">
        <f t="shared" ref="E19:R19" si="19">E7*E13</f>
        <v>129447.18000000001</v>
      </c>
      <c r="F19" s="67">
        <f t="shared" si="19"/>
        <v>155802.62584800003</v>
      </c>
      <c r="G19" s="67">
        <f t="shared" si="19"/>
        <v>187524.04047065284</v>
      </c>
      <c r="H19" s="67">
        <f t="shared" si="19"/>
        <v>225703.93511047776</v>
      </c>
      <c r="I19" s="67">
        <f t="shared" si="19"/>
        <v>271657.25629897101</v>
      </c>
      <c r="J19" s="67">
        <f t="shared" si="19"/>
        <v>277090.40142495045</v>
      </c>
      <c r="K19" s="67">
        <f t="shared" si="19"/>
        <v>282632.20945344947</v>
      </c>
      <c r="L19" s="67">
        <f t="shared" si="19"/>
        <v>288284.85364251846</v>
      </c>
      <c r="M19" s="67">
        <f t="shared" si="19"/>
        <v>294050.55071536882</v>
      </c>
      <c r="N19" s="67">
        <f t="shared" si="19"/>
        <v>299931.56172967621</v>
      </c>
      <c r="O19" s="67">
        <f t="shared" si="19"/>
        <v>305930.19296426978</v>
      </c>
      <c r="P19" s="67">
        <f t="shared" si="19"/>
        <v>312048.79682355514</v>
      </c>
      <c r="Q19" s="67">
        <f t="shared" si="19"/>
        <v>318289.77276002627</v>
      </c>
      <c r="R19" s="68">
        <f t="shared" si="19"/>
        <v>324655.56821522675</v>
      </c>
      <c r="X19" s="187">
        <v>-332</v>
      </c>
      <c r="Y19" s="198">
        <v>-114</v>
      </c>
      <c r="Z19" s="193">
        <v>0.15</v>
      </c>
    </row>
    <row r="20" spans="2:27" x14ac:dyDescent="0.3">
      <c r="B20" s="32" t="s">
        <v>134</v>
      </c>
      <c r="C20" s="85" t="s">
        <v>79</v>
      </c>
      <c r="D20" s="67">
        <f>D8*D13</f>
        <v>32619.749999999996</v>
      </c>
      <c r="E20" s="67">
        <f t="shared" ref="E20:R20" si="20">E8*E13</f>
        <v>39261.131099999999</v>
      </c>
      <c r="F20" s="67">
        <f t="shared" si="20"/>
        <v>47254.697391959999</v>
      </c>
      <c r="G20" s="67">
        <f t="shared" si="20"/>
        <v>56875.753780963045</v>
      </c>
      <c r="H20" s="67">
        <f t="shared" si="20"/>
        <v>68455.657250767123</v>
      </c>
      <c r="I20" s="67">
        <f t="shared" si="20"/>
        <v>82393.229067023305</v>
      </c>
      <c r="J20" s="67">
        <f t="shared" si="20"/>
        <v>84041.093648363778</v>
      </c>
      <c r="K20" s="67">
        <f t="shared" si="20"/>
        <v>85721.915521331044</v>
      </c>
      <c r="L20" s="67">
        <f t="shared" si="20"/>
        <v>87436.35383175766</v>
      </c>
      <c r="M20" s="67">
        <f t="shared" si="20"/>
        <v>89185.080908392818</v>
      </c>
      <c r="N20" s="67">
        <f t="shared" si="20"/>
        <v>90968.782526560666</v>
      </c>
      <c r="O20" s="67">
        <f t="shared" si="20"/>
        <v>92788.158177091886</v>
      </c>
      <c r="P20" s="67">
        <f t="shared" si="20"/>
        <v>94643.921340633708</v>
      </c>
      <c r="Q20" s="67">
        <f t="shared" si="20"/>
        <v>96536.799767446384</v>
      </c>
      <c r="R20" s="68">
        <f t="shared" si="20"/>
        <v>98467.53576279532</v>
      </c>
    </row>
    <row r="21" spans="2:27" x14ac:dyDescent="0.3">
      <c r="B21" s="32" t="s">
        <v>21</v>
      </c>
      <c r="C21" s="85" t="s">
        <v>79</v>
      </c>
      <c r="D21" s="67">
        <f>D9*D13</f>
        <v>90780</v>
      </c>
      <c r="E21" s="67">
        <f t="shared" ref="E21:R21" si="21">E9*E13</f>
        <v>109262.80799999999</v>
      </c>
      <c r="F21" s="67">
        <f t="shared" si="21"/>
        <v>131508.71570879998</v>
      </c>
      <c r="G21" s="67">
        <f t="shared" si="21"/>
        <v>158283.89022711167</v>
      </c>
      <c r="H21" s="67">
        <f t="shared" si="21"/>
        <v>190510.49027735164</v>
      </c>
      <c r="I21" s="67">
        <f t="shared" si="21"/>
        <v>229298.4260978204</v>
      </c>
      <c r="J21" s="67">
        <f t="shared" si="21"/>
        <v>233884.39461977681</v>
      </c>
      <c r="K21" s="67">
        <f t="shared" si="21"/>
        <v>238562.08251217235</v>
      </c>
      <c r="L21" s="67">
        <f t="shared" si="21"/>
        <v>243333.32416241581</v>
      </c>
      <c r="M21" s="67">
        <f t="shared" si="21"/>
        <v>248199.9906456641</v>
      </c>
      <c r="N21" s="67">
        <f t="shared" si="21"/>
        <v>253163.99045857741</v>
      </c>
      <c r="O21" s="67">
        <f t="shared" si="21"/>
        <v>258227.27026774897</v>
      </c>
      <c r="P21" s="67">
        <f t="shared" si="21"/>
        <v>263391.81567310391</v>
      </c>
      <c r="Q21" s="67">
        <f t="shared" si="21"/>
        <v>268659.65198656602</v>
      </c>
      <c r="R21" s="68">
        <f t="shared" si="21"/>
        <v>274032.84502629732</v>
      </c>
    </row>
    <row r="22" spans="2:27" x14ac:dyDescent="0.3">
      <c r="B22" s="32" t="s">
        <v>56</v>
      </c>
      <c r="C22" s="85" t="s">
        <v>79</v>
      </c>
      <c r="D22" s="67">
        <f>D10</f>
        <v>18240</v>
      </c>
      <c r="E22" s="67">
        <f>E10+E10*$R$1</f>
        <v>21953.663999999997</v>
      </c>
      <c r="F22" s="67">
        <f t="shared" ref="F22:R22" si="22">F10+F10*$R$1</f>
        <v>22392.737280000001</v>
      </c>
      <c r="G22" s="67">
        <f t="shared" si="22"/>
        <v>22840.592025599999</v>
      </c>
      <c r="H22" s="67">
        <f t="shared" si="22"/>
        <v>23297.403866111999</v>
      </c>
      <c r="I22" s="67">
        <f t="shared" si="22"/>
        <v>23763.351943434242</v>
      </c>
      <c r="J22" s="67">
        <f t="shared" si="22"/>
        <v>24238.618982302927</v>
      </c>
      <c r="K22" s="67">
        <f>K10+K10*$R$1</f>
        <v>24723.391361948983</v>
      </c>
      <c r="L22" s="67">
        <f t="shared" si="22"/>
        <v>25217.859189187966</v>
      </c>
      <c r="M22" s="67">
        <f t="shared" si="22"/>
        <v>25722.216372971725</v>
      </c>
      <c r="N22" s="67">
        <f t="shared" si="22"/>
        <v>26236.660700431159</v>
      </c>
      <c r="O22" s="67">
        <f t="shared" si="22"/>
        <v>26761.393914439781</v>
      </c>
      <c r="P22" s="67">
        <f t="shared" si="22"/>
        <v>27296.621792728576</v>
      </c>
      <c r="Q22" s="67">
        <f t="shared" si="22"/>
        <v>27842.554228583147</v>
      </c>
      <c r="R22" s="68">
        <f t="shared" si="22"/>
        <v>28399.405313154813</v>
      </c>
      <c r="X22" s="369" t="s">
        <v>173</v>
      </c>
      <c r="Y22" s="369"/>
      <c r="Z22" s="369"/>
      <c r="AA22" s="369"/>
    </row>
    <row r="23" spans="2:27" ht="16.2" x14ac:dyDescent="0.35">
      <c r="B23" s="69" t="s">
        <v>158</v>
      </c>
      <c r="C23" s="119"/>
      <c r="D23" s="63">
        <f>('INJET 388-CRD - Náklady'!$J$12+'INJET 388-CRD - Náklady'!$J$9)*D13</f>
        <v>5404</v>
      </c>
      <c r="E23" s="63">
        <f>('INJET 388-CRD - Náklady'!$J$12+'INJET 388-CRD - Náklady'!$J$9)*E13</f>
        <v>6376.72</v>
      </c>
      <c r="F23" s="63">
        <f>('INJET 388-CRD - Náklady'!$J$12+'INJET 388-CRD - Náklady'!$J$9)*F13</f>
        <v>7524.5295999999998</v>
      </c>
      <c r="G23" s="63">
        <f>('INJET 388-CRD - Náklady'!$J$12+'INJET 388-CRD - Náklady'!$J$9)*G13</f>
        <v>8878.944927999999</v>
      </c>
      <c r="H23" s="63">
        <f>('INJET 388-CRD - Náklady'!$J$12+'INJET 388-CRD - Náklady'!$J$9)*H13</f>
        <v>10477.15501504</v>
      </c>
      <c r="I23" s="63">
        <f>('INJET 388-CRD - Náklady'!$J$12+'INJET 388-CRD - Náklady'!$J$9)*I13</f>
        <v>12363.0429177472</v>
      </c>
      <c r="J23" s="63">
        <f>('INJET 388-CRD - Náklady'!$J$12+'INJET 388-CRD - Náklady'!$J$9)*J13</f>
        <v>12363.0429177472</v>
      </c>
      <c r="K23" s="63">
        <f>('INJET 388-CRD - Náklady'!$J$12+'INJET 388-CRD - Náklady'!$J$9)*K13</f>
        <v>12363.0429177472</v>
      </c>
      <c r="L23" s="63">
        <f>('INJET 388-CRD - Náklady'!$J$12+'INJET 388-CRD - Náklady'!$J$9)*L13</f>
        <v>12363.0429177472</v>
      </c>
      <c r="M23" s="63">
        <f>('INJET 388-CRD - Náklady'!$J$12+'INJET 388-CRD - Náklady'!$J$9)*M13</f>
        <v>12363.0429177472</v>
      </c>
      <c r="N23" s="63">
        <f>('INJET 388-CRD - Náklady'!$J$12+'INJET 388-CRD - Náklady'!$J$9)*N13</f>
        <v>12363.0429177472</v>
      </c>
      <c r="O23" s="63">
        <f>('INJET 388-CRD - Náklady'!$J$12+'INJET 388-CRD - Náklady'!$J$9)*O13</f>
        <v>12363.0429177472</v>
      </c>
      <c r="P23" s="63">
        <f>('INJET 388-CRD - Náklady'!$J$12+'INJET 388-CRD - Náklady'!$J$9)*P13</f>
        <v>12363.0429177472</v>
      </c>
      <c r="Q23" s="63">
        <f>('INJET 388-CRD - Náklady'!$J$12+'INJET 388-CRD - Náklady'!$J$9)*Q13</f>
        <v>12363.0429177472</v>
      </c>
      <c r="R23" s="70">
        <f>('INJET 388-CRD - Náklady'!$J$12+'INJET 388-CRD - Náklady'!$J$9)*R13</f>
        <v>12363.0429177472</v>
      </c>
      <c r="X23" s="1" t="s">
        <v>175</v>
      </c>
      <c r="Y23" s="1">
        <f>((1+$C$55)^(15))*((C55+1)-1)/(($C$55+1)^(15)-1)</f>
        <v>0.12405888265031016</v>
      </c>
      <c r="Z23" s="1"/>
      <c r="AA23" s="1"/>
    </row>
    <row r="24" spans="2:27" ht="15" customHeight="1" thickBot="1" x14ac:dyDescent="0.35">
      <c r="B24" s="266" t="s">
        <v>78</v>
      </c>
      <c r="C24" s="267"/>
      <c r="D24" s="268">
        <f>SUM(D17:D23)</f>
        <v>691462.05249999999</v>
      </c>
      <c r="E24" s="268">
        <f t="shared" ref="E24:R24" si="23">SUM(E17:E23)</f>
        <v>757006.10004999989</v>
      </c>
      <c r="F24" s="268">
        <f t="shared" si="23"/>
        <v>829570.73022975994</v>
      </c>
      <c r="G24" s="268">
        <f t="shared" si="23"/>
        <v>914460.06222550746</v>
      </c>
      <c r="H24" s="268">
        <f t="shared" si="23"/>
        <v>1014103.0040557007</v>
      </c>
      <c r="I24" s="268">
        <f t="shared" si="23"/>
        <v>1131419.2032294199</v>
      </c>
      <c r="J24" s="268">
        <f t="shared" si="23"/>
        <v>1158585.6405004931</v>
      </c>
      <c r="K24" s="268">
        <f t="shared" si="23"/>
        <v>1186445.6484370169</v>
      </c>
      <c r="L24" s="268">
        <f t="shared" si="23"/>
        <v>1215017.6057099011</v>
      </c>
      <c r="M24" s="268">
        <f t="shared" si="23"/>
        <v>1244320.3937812021</v>
      </c>
      <c r="N24" s="268">
        <f t="shared" si="23"/>
        <v>1274373.411016477</v>
      </c>
      <c r="O24" s="268">
        <f t="shared" si="23"/>
        <v>1305196.5872010819</v>
      </c>
      <c r="P24" s="268">
        <f t="shared" si="23"/>
        <v>1336810.3984721417</v>
      </c>
      <c r="Q24" s="268">
        <f t="shared" si="23"/>
        <v>1369235.8826782685</v>
      </c>
      <c r="R24" s="269">
        <f t="shared" si="23"/>
        <v>1402494.6551794533</v>
      </c>
      <c r="X24" s="367" t="s">
        <v>118</v>
      </c>
      <c r="Y24" s="368" t="s">
        <v>174</v>
      </c>
      <c r="Z24" s="368" t="s">
        <v>152</v>
      </c>
      <c r="AA24" s="367" t="s">
        <v>176</v>
      </c>
    </row>
    <row r="25" spans="2:27" x14ac:dyDescent="0.3">
      <c r="B25" s="66" t="s">
        <v>8</v>
      </c>
      <c r="C25" s="220"/>
      <c r="D25" s="58">
        <f>'INJET 388-CRD - Náklady'!$C$3/'INJET 388-CRD - Náklady'!$C$11</f>
        <v>44573.466666666667</v>
      </c>
      <c r="E25" s="58">
        <f>'INJET 388-CRD - Náklady'!$C$3/'INJET 388-CRD - Náklady'!$C$11</f>
        <v>44573.466666666667</v>
      </c>
      <c r="F25" s="58">
        <f>'INJET 388-CRD - Náklady'!$C$3/'INJET 388-CRD - Náklady'!$C$11</f>
        <v>44573.466666666667</v>
      </c>
      <c r="G25" s="58">
        <f>'INJET 388-CRD - Náklady'!$C$3/'INJET 388-CRD - Náklady'!$C$11</f>
        <v>44573.466666666667</v>
      </c>
      <c r="H25" s="58">
        <f>'INJET 388-CRD - Náklady'!$C$3/'INJET 388-CRD - Náklady'!$C$11</f>
        <v>44573.466666666667</v>
      </c>
      <c r="I25" s="58">
        <f>'INJET 388-CRD - Náklady'!$C$3/'INJET 388-CRD - Náklady'!$C$11</f>
        <v>44573.466666666667</v>
      </c>
      <c r="J25" s="58">
        <f>'INJET 388-CRD - Náklady'!$C$3/'INJET 388-CRD - Náklady'!$C$11</f>
        <v>44573.466666666667</v>
      </c>
      <c r="K25" s="58">
        <f>'INJET 388-CRD - Náklady'!$C$3/'INJET 388-CRD - Náklady'!$C$11</f>
        <v>44573.466666666667</v>
      </c>
      <c r="L25" s="58">
        <f>'INJET 388-CRD - Náklady'!$C$3/'INJET 388-CRD - Náklady'!$C$11</f>
        <v>44573.466666666667</v>
      </c>
      <c r="M25" s="58">
        <f>'INJET 388-CRD - Náklady'!$C$3/'INJET 388-CRD - Náklady'!$C$11</f>
        <v>44573.466666666667</v>
      </c>
      <c r="N25" s="58">
        <f>'INJET 388-CRD - Náklady'!$C$3/'INJET 388-CRD - Náklady'!$C$11</f>
        <v>44573.466666666667</v>
      </c>
      <c r="O25" s="58">
        <f>'INJET 388-CRD - Náklady'!$C$3/'INJET 388-CRD - Náklady'!$C$11</f>
        <v>44573.466666666667</v>
      </c>
      <c r="P25" s="58">
        <f>'INJET 388-CRD - Náklady'!$C$3/'INJET 388-CRD - Náklady'!$C$11</f>
        <v>44573.466666666667</v>
      </c>
      <c r="Q25" s="58">
        <f>'INJET 388-CRD - Náklady'!$C$3/'INJET 388-CRD - Náklady'!$C$11</f>
        <v>44573.466666666667</v>
      </c>
      <c r="R25" s="59">
        <f>'INJET 388-CRD - Náklady'!$C$3/'INJET 388-CRD - Náklady'!$C$11</f>
        <v>44573.466666666667</v>
      </c>
      <c r="X25" s="367"/>
      <c r="Y25" s="368"/>
      <c r="Z25" s="368"/>
      <c r="AA25" s="367"/>
    </row>
    <row r="26" spans="2:27" ht="15" thickBot="1" x14ac:dyDescent="0.35">
      <c r="B26" s="37" t="s">
        <v>82</v>
      </c>
      <c r="C26" s="60"/>
      <c r="D26" s="64">
        <f>'INJET 388-CRD - Náklady'!$C$3/100*11</f>
        <v>73546.22</v>
      </c>
      <c r="E26" s="64">
        <f>'INJET 388-CRD - Náklady'!$C$3/100*22.25</f>
        <v>148763.94500000001</v>
      </c>
      <c r="F26" s="64">
        <f>'INJET 388-CRD - Náklady'!$C$3/100*22.25</f>
        <v>148763.94500000001</v>
      </c>
      <c r="G26" s="64">
        <f>'INJET 388-CRD - Náklady'!$C$3/100*22.25</f>
        <v>148763.94500000001</v>
      </c>
      <c r="H26" s="64">
        <f>'INJET 388-CRD - Náklady'!$C$3/100*22.25</f>
        <v>148763.94500000001</v>
      </c>
      <c r="I26" s="64"/>
      <c r="J26" s="64"/>
      <c r="K26" s="64"/>
      <c r="L26" s="64"/>
      <c r="M26" s="64"/>
      <c r="N26" s="64"/>
      <c r="O26" s="64"/>
      <c r="P26" s="64"/>
      <c r="Q26" s="64"/>
      <c r="R26" s="65"/>
      <c r="X26" s="1">
        <v>0</v>
      </c>
      <c r="Y26" s="1">
        <v>0</v>
      </c>
      <c r="Z26" s="1">
        <v>431</v>
      </c>
      <c r="AA26" s="1">
        <v>0</v>
      </c>
    </row>
    <row r="27" spans="2:27" ht="15" thickBot="1" x14ac:dyDescent="0.35">
      <c r="B27" s="262" t="s">
        <v>77</v>
      </c>
      <c r="C27" s="263"/>
      <c r="D27" s="264">
        <f>SUM(D24:D25)</f>
        <v>736035.51916666667</v>
      </c>
      <c r="E27" s="264">
        <f t="shared" ref="E27:R27" si="24">SUM(E24:E25)</f>
        <v>801579.56671666657</v>
      </c>
      <c r="F27" s="264">
        <f t="shared" si="24"/>
        <v>874144.19689642661</v>
      </c>
      <c r="G27" s="264">
        <f t="shared" si="24"/>
        <v>959033.52889217413</v>
      </c>
      <c r="H27" s="264">
        <f t="shared" si="24"/>
        <v>1058676.4707223673</v>
      </c>
      <c r="I27" s="264">
        <f t="shared" si="24"/>
        <v>1175992.6698960864</v>
      </c>
      <c r="J27" s="264">
        <f t="shared" si="24"/>
        <v>1203159.1071671597</v>
      </c>
      <c r="K27" s="264">
        <f t="shared" si="24"/>
        <v>1231019.1151036834</v>
      </c>
      <c r="L27" s="264">
        <f t="shared" si="24"/>
        <v>1259591.0723765676</v>
      </c>
      <c r="M27" s="264">
        <f t="shared" si="24"/>
        <v>1288893.8604478687</v>
      </c>
      <c r="N27" s="264">
        <f t="shared" si="24"/>
        <v>1318946.8776831436</v>
      </c>
      <c r="O27" s="264">
        <f t="shared" si="24"/>
        <v>1349770.0538677485</v>
      </c>
      <c r="P27" s="264">
        <f t="shared" si="24"/>
        <v>1381383.8651388083</v>
      </c>
      <c r="Q27" s="264">
        <f t="shared" si="24"/>
        <v>1413809.349344935</v>
      </c>
      <c r="R27" s="265">
        <f t="shared" si="24"/>
        <v>1447068.1218461199</v>
      </c>
      <c r="X27" s="1">
        <v>315138</v>
      </c>
      <c r="Y27" s="1">
        <v>3.9</v>
      </c>
      <c r="Z27" s="1">
        <v>448</v>
      </c>
      <c r="AA27" s="1">
        <f>X27*Y23</f>
        <v>39095.66816065344</v>
      </c>
    </row>
    <row r="28" spans="2:27" ht="15" thickBot="1" x14ac:dyDescent="0.35">
      <c r="X28" s="1">
        <v>393924</v>
      </c>
      <c r="Y28" s="1">
        <v>5</v>
      </c>
      <c r="Z28" s="1">
        <v>452.5</v>
      </c>
      <c r="AA28" s="1">
        <f>X28*Y23</f>
        <v>48869.771289140779</v>
      </c>
    </row>
    <row r="29" spans="2:27" ht="15" thickBot="1" x14ac:dyDescent="0.35">
      <c r="B29" s="258" t="s">
        <v>147</v>
      </c>
      <c r="C29" s="270"/>
      <c r="D29" s="260">
        <f>D15-D27</f>
        <v>-197662.40524477954</v>
      </c>
      <c r="E29" s="260">
        <f t="shared" ref="E29:R29" si="25">E15-E27</f>
        <v>-153593.68680028315</v>
      </c>
      <c r="F29" s="260">
        <f t="shared" si="25"/>
        <v>-94228.391829067492</v>
      </c>
      <c r="G29" s="260">
        <f t="shared" si="25"/>
        <v>-20326.865913100657</v>
      </c>
      <c r="H29" s="260">
        <f t="shared" si="25"/>
        <v>71150.868839245522</v>
      </c>
      <c r="I29" s="260">
        <f t="shared" si="25"/>
        <v>183867.51600027084</v>
      </c>
      <c r="J29" s="260">
        <f t="shared" si="25"/>
        <v>183898.28244712483</v>
      </c>
      <c r="K29" s="260">
        <f t="shared" si="25"/>
        <v>183779.42230288661</v>
      </c>
      <c r="L29" s="260">
        <f t="shared" si="25"/>
        <v>183503.43577813404</v>
      </c>
      <c r="M29" s="260">
        <f t="shared" si="25"/>
        <v>183062.53786992701</v>
      </c>
      <c r="N29" s="260">
        <f t="shared" si="25"/>
        <v>182448.64860100788</v>
      </c>
      <c r="O29" s="260">
        <f t="shared" si="25"/>
        <v>181653.38294208609</v>
      </c>
      <c r="P29" s="260">
        <f t="shared" si="25"/>
        <v>180668.04040722293</v>
      </c>
      <c r="Q29" s="260">
        <f t="shared" si="25"/>
        <v>179483.59431201662</v>
      </c>
      <c r="R29" s="261">
        <f t="shared" si="25"/>
        <v>178090.68068397092</v>
      </c>
      <c r="X29" s="1">
        <v>584723</v>
      </c>
      <c r="Y29" s="1">
        <v>7.5</v>
      </c>
      <c r="Z29" s="1">
        <v>463.3</v>
      </c>
      <c r="AA29" s="1">
        <f>X29*Y23</f>
        <v>72540.082039937304</v>
      </c>
    </row>
    <row r="30" spans="2:27" ht="15" thickBot="1" x14ac:dyDescent="0.35"/>
    <row r="31" spans="2:27" x14ac:dyDescent="0.3">
      <c r="B31" s="273" t="s">
        <v>83</v>
      </c>
      <c r="C31" s="58"/>
      <c r="D31" s="58">
        <f>D29+D25-D26</f>
        <v>-226635.15857811287</v>
      </c>
      <c r="E31" s="58">
        <f t="shared" ref="E31:R31" si="26">E29+E25-E26</f>
        <v>-257784.16513361648</v>
      </c>
      <c r="F31" s="58">
        <f t="shared" si="26"/>
        <v>-198418.87016240082</v>
      </c>
      <c r="G31" s="58">
        <f t="shared" si="26"/>
        <v>-124517.34424643399</v>
      </c>
      <c r="H31" s="58">
        <f t="shared" si="26"/>
        <v>-33039.60949408781</v>
      </c>
      <c r="I31" s="58">
        <f t="shared" si="26"/>
        <v>228440.98266693752</v>
      </c>
      <c r="J31" s="58">
        <f t="shared" si="26"/>
        <v>228471.74911379151</v>
      </c>
      <c r="K31" s="58">
        <f t="shared" si="26"/>
        <v>228352.88896955329</v>
      </c>
      <c r="L31" s="58">
        <f t="shared" si="26"/>
        <v>228076.90244480071</v>
      </c>
      <c r="M31" s="58">
        <f t="shared" si="26"/>
        <v>227636.00453659368</v>
      </c>
      <c r="N31" s="271">
        <f t="shared" si="26"/>
        <v>227022.11526767456</v>
      </c>
      <c r="O31" s="271">
        <f t="shared" si="26"/>
        <v>226226.84960875276</v>
      </c>
      <c r="P31" s="271">
        <f t="shared" si="26"/>
        <v>225241.5070738896</v>
      </c>
      <c r="Q31" s="271">
        <f t="shared" si="26"/>
        <v>224057.06097868329</v>
      </c>
      <c r="R31" s="272">
        <f t="shared" si="26"/>
        <v>222664.14735063759</v>
      </c>
    </row>
    <row r="32" spans="2:27" x14ac:dyDescent="0.3">
      <c r="B32" s="274" t="s">
        <v>85</v>
      </c>
      <c r="C32" s="46"/>
      <c r="D32" s="46">
        <v>0</v>
      </c>
      <c r="E32" s="46">
        <v>0</v>
      </c>
      <c r="F32" s="46">
        <v>0</v>
      </c>
      <c r="G32" s="46">
        <v>0</v>
      </c>
      <c r="H32" s="46">
        <f>0</f>
        <v>0</v>
      </c>
      <c r="I32" s="46">
        <f>H33</f>
        <v>226635.15857811287</v>
      </c>
      <c r="J32" s="46">
        <v>0</v>
      </c>
      <c r="K32" s="46">
        <f>0</f>
        <v>0</v>
      </c>
      <c r="L32" s="46">
        <f>0</f>
        <v>0</v>
      </c>
      <c r="M32" s="46">
        <f>0</f>
        <v>0</v>
      </c>
      <c r="N32" s="67"/>
      <c r="O32" s="67"/>
      <c r="P32" s="67"/>
      <c r="Q32" s="67"/>
      <c r="R32" s="68"/>
    </row>
    <row r="33" spans="2:18" x14ac:dyDescent="0.3">
      <c r="B33" s="275" t="s">
        <v>91</v>
      </c>
      <c r="C33" s="63"/>
      <c r="D33" s="63">
        <f>ABS(D31-D32)</f>
        <v>226635.15857811287</v>
      </c>
      <c r="E33" s="63">
        <f>D33-E32</f>
        <v>226635.15857811287</v>
      </c>
      <c r="F33" s="63">
        <f t="shared" ref="F33:H33" si="27">E33-F32</f>
        <v>226635.15857811287</v>
      </c>
      <c r="G33" s="63">
        <f t="shared" si="27"/>
        <v>226635.15857811287</v>
      </c>
      <c r="H33" s="63">
        <f t="shared" si="27"/>
        <v>226635.15857811287</v>
      </c>
      <c r="I33" s="63">
        <f>H33-I32</f>
        <v>0</v>
      </c>
      <c r="J33" s="63">
        <f>I33-J32</f>
        <v>0</v>
      </c>
      <c r="K33" s="63">
        <f t="shared" ref="K33:M33" si="28">J33-K32</f>
        <v>0</v>
      </c>
      <c r="L33" s="63">
        <f t="shared" si="28"/>
        <v>0</v>
      </c>
      <c r="M33" s="63">
        <f t="shared" si="28"/>
        <v>0</v>
      </c>
      <c r="N33" s="63">
        <f t="shared" ref="N33" si="29">M33-N32</f>
        <v>0</v>
      </c>
      <c r="O33" s="63">
        <f t="shared" ref="O33" si="30">N33-O32</f>
        <v>0</v>
      </c>
      <c r="P33" s="63">
        <f t="shared" ref="P33" si="31">O33-P32</f>
        <v>0</v>
      </c>
      <c r="Q33" s="63">
        <f t="shared" ref="Q33:R33" si="32">P33-Q32</f>
        <v>0</v>
      </c>
      <c r="R33" s="70">
        <f t="shared" si="32"/>
        <v>0</v>
      </c>
    </row>
    <row r="34" spans="2:18" x14ac:dyDescent="0.3">
      <c r="B34" s="274" t="s">
        <v>92</v>
      </c>
      <c r="C34" s="46"/>
      <c r="D34" s="46"/>
      <c r="E34" s="46">
        <v>0</v>
      </c>
      <c r="F34" s="46">
        <v>0</v>
      </c>
      <c r="G34" s="46">
        <v>0</v>
      </c>
      <c r="H34" s="46">
        <v>0</v>
      </c>
      <c r="I34" s="46">
        <f>I31-I32</f>
        <v>1805.824088824651</v>
      </c>
      <c r="J34" s="46">
        <f>J31</f>
        <v>228471.74911379151</v>
      </c>
      <c r="K34" s="46">
        <v>0</v>
      </c>
      <c r="L34" s="46">
        <f>0</f>
        <v>0</v>
      </c>
      <c r="M34" s="46">
        <f>0</f>
        <v>0</v>
      </c>
      <c r="N34" s="46">
        <f>0</f>
        <v>0</v>
      </c>
      <c r="O34" s="46">
        <f>0</f>
        <v>0</v>
      </c>
      <c r="P34" s="46">
        <f>0</f>
        <v>0</v>
      </c>
      <c r="Q34" s="46">
        <f>0</f>
        <v>0</v>
      </c>
      <c r="R34" s="68"/>
    </row>
    <row r="35" spans="2:18" x14ac:dyDescent="0.3">
      <c r="B35" s="275" t="s">
        <v>93</v>
      </c>
      <c r="C35" s="63"/>
      <c r="D35" s="63"/>
      <c r="E35" s="63">
        <f>ABS(E31-E34)</f>
        <v>257784.16513361648</v>
      </c>
      <c r="F35" s="63">
        <f>E35-F34</f>
        <v>257784.16513361648</v>
      </c>
      <c r="G35" s="63">
        <f>F35-G34</f>
        <v>257784.16513361648</v>
      </c>
      <c r="H35" s="63">
        <f>G35-H34</f>
        <v>257784.16513361648</v>
      </c>
      <c r="I35" s="63">
        <f>H35-I34</f>
        <v>255978.34104479183</v>
      </c>
      <c r="J35" s="63">
        <f>I35-J34</f>
        <v>27506.591931000323</v>
      </c>
      <c r="K35" s="63">
        <f t="shared" ref="K35:M35" si="33">J35-K34</f>
        <v>27506.591931000323</v>
      </c>
      <c r="L35" s="63">
        <f t="shared" si="33"/>
        <v>27506.591931000323</v>
      </c>
      <c r="M35" s="63">
        <f t="shared" si="33"/>
        <v>27506.591931000323</v>
      </c>
      <c r="N35" s="63">
        <f t="shared" ref="N35" si="34">M35-N34</f>
        <v>27506.591931000323</v>
      </c>
      <c r="O35" s="63">
        <f t="shared" ref="O35" si="35">N35-O34</f>
        <v>27506.591931000323</v>
      </c>
      <c r="P35" s="63">
        <f t="shared" ref="P35" si="36">O35-P34</f>
        <v>27506.591931000323</v>
      </c>
      <c r="Q35" s="63">
        <f t="shared" ref="Q35" si="37">P35-Q34</f>
        <v>27506.591931000323</v>
      </c>
      <c r="R35" s="70"/>
    </row>
    <row r="36" spans="2:18" x14ac:dyDescent="0.3">
      <c r="B36" s="274" t="s">
        <v>94</v>
      </c>
      <c r="C36" s="46"/>
      <c r="D36" s="46"/>
      <c r="E36" s="46"/>
      <c r="F36" s="46">
        <v>0</v>
      </c>
      <c r="G36" s="46">
        <v>0</v>
      </c>
      <c r="H36" s="46">
        <v>0</v>
      </c>
      <c r="I36" s="46">
        <v>0</v>
      </c>
      <c r="J36" s="46">
        <f>J31-J34</f>
        <v>0</v>
      </c>
      <c r="K36" s="46">
        <f>J37</f>
        <v>198418.87016240082</v>
      </c>
      <c r="L36" s="46">
        <f t="shared" ref="L36:M36" si="38">K37</f>
        <v>0</v>
      </c>
      <c r="M36" s="46">
        <f t="shared" si="38"/>
        <v>0</v>
      </c>
      <c r="N36" s="46"/>
      <c r="O36" s="46"/>
      <c r="P36" s="46"/>
      <c r="Q36" s="46"/>
      <c r="R36" s="49"/>
    </row>
    <row r="37" spans="2:18" x14ac:dyDescent="0.3">
      <c r="B37" s="275" t="s">
        <v>95</v>
      </c>
      <c r="C37" s="63"/>
      <c r="D37" s="63"/>
      <c r="E37" s="63"/>
      <c r="F37" s="63">
        <f>ABS(F31-F36)</f>
        <v>198418.87016240082</v>
      </c>
      <c r="G37" s="63">
        <f>F37-G36</f>
        <v>198418.87016240082</v>
      </c>
      <c r="H37" s="63">
        <f t="shared" ref="H37:I37" si="39">G37-H36</f>
        <v>198418.87016240082</v>
      </c>
      <c r="I37" s="63">
        <f t="shared" si="39"/>
        <v>198418.87016240082</v>
      </c>
      <c r="J37" s="63">
        <f>I37-J36</f>
        <v>198418.87016240082</v>
      </c>
      <c r="K37" s="63">
        <f>J37-K36</f>
        <v>0</v>
      </c>
      <c r="L37" s="63">
        <f t="shared" ref="L37:M37" si="40">K37-L36</f>
        <v>0</v>
      </c>
      <c r="M37" s="63">
        <f t="shared" si="40"/>
        <v>0</v>
      </c>
      <c r="N37" s="63"/>
      <c r="O37" s="63"/>
      <c r="P37" s="63"/>
      <c r="Q37" s="63"/>
      <c r="R37" s="70"/>
    </row>
    <row r="38" spans="2:18" x14ac:dyDescent="0.3">
      <c r="B38" s="274" t="s">
        <v>96</v>
      </c>
      <c r="C38" s="46"/>
      <c r="D38" s="46"/>
      <c r="E38" s="46"/>
      <c r="F38" s="46"/>
      <c r="G38" s="46">
        <v>0</v>
      </c>
      <c r="H38" s="46">
        <v>0</v>
      </c>
      <c r="I38" s="46">
        <v>0</v>
      </c>
      <c r="J38" s="46">
        <v>0</v>
      </c>
      <c r="K38" s="46">
        <f>K31-K36</f>
        <v>29934.018807152461</v>
      </c>
      <c r="L38" s="46">
        <f t="shared" ref="L38:M38" si="41">K39</f>
        <v>94583.325439281529</v>
      </c>
      <c r="M38" s="46">
        <f t="shared" si="41"/>
        <v>0</v>
      </c>
      <c r="N38" s="46"/>
      <c r="O38" s="46"/>
      <c r="P38" s="46"/>
      <c r="Q38" s="46"/>
      <c r="R38" s="49"/>
    </row>
    <row r="39" spans="2:18" x14ac:dyDescent="0.3">
      <c r="B39" s="275" t="s">
        <v>97</v>
      </c>
      <c r="C39" s="63"/>
      <c r="D39" s="63"/>
      <c r="E39" s="63"/>
      <c r="F39" s="63"/>
      <c r="G39" s="63">
        <f>ABS(G31)</f>
        <v>124517.34424643399</v>
      </c>
      <c r="H39" s="63">
        <f>G39-H38</f>
        <v>124517.34424643399</v>
      </c>
      <c r="I39" s="63">
        <f t="shared" ref="I39" si="42">H39-I38</f>
        <v>124517.34424643399</v>
      </c>
      <c r="J39" s="63">
        <f>I39-J38</f>
        <v>124517.34424643399</v>
      </c>
      <c r="K39" s="63">
        <f t="shared" ref="K39:M39" si="43">J39-K38</f>
        <v>94583.325439281529</v>
      </c>
      <c r="L39" s="63">
        <f t="shared" si="43"/>
        <v>0</v>
      </c>
      <c r="M39" s="63">
        <f t="shared" si="43"/>
        <v>0</v>
      </c>
      <c r="N39" s="63"/>
      <c r="O39" s="63"/>
      <c r="P39" s="63"/>
      <c r="Q39" s="63"/>
      <c r="R39" s="70"/>
    </row>
    <row r="40" spans="2:18" x14ac:dyDescent="0.3">
      <c r="B40" s="274" t="s">
        <v>159</v>
      </c>
      <c r="C40" s="67"/>
      <c r="D40" s="67"/>
      <c r="E40" s="67"/>
      <c r="F40" s="67"/>
      <c r="G40" s="67"/>
      <c r="H40" s="67">
        <v>0</v>
      </c>
      <c r="I40" s="67">
        <v>0</v>
      </c>
      <c r="J40" s="67">
        <f>0</f>
        <v>0</v>
      </c>
      <c r="K40" s="67">
        <v>0</v>
      </c>
      <c r="L40" s="67">
        <f>K41</f>
        <v>0</v>
      </c>
      <c r="M40" s="67"/>
      <c r="N40" s="67"/>
      <c r="O40" s="67"/>
      <c r="P40" s="67"/>
      <c r="Q40" s="67"/>
      <c r="R40" s="68"/>
    </row>
    <row r="41" spans="2:18" ht="15" thickBot="1" x14ac:dyDescent="0.35">
      <c r="B41" s="276" t="s">
        <v>160</v>
      </c>
      <c r="C41" s="67"/>
      <c r="D41" s="67"/>
      <c r="E41" s="67"/>
      <c r="F41" s="67"/>
      <c r="G41" s="67"/>
      <c r="H41" s="67">
        <v>0</v>
      </c>
      <c r="I41" s="67">
        <f>H41-I40</f>
        <v>0</v>
      </c>
      <c r="J41" s="67">
        <f t="shared" ref="J41:L41" si="44">I41-J40</f>
        <v>0</v>
      </c>
      <c r="K41" s="67">
        <f t="shared" si="44"/>
        <v>0</v>
      </c>
      <c r="L41" s="67">
        <f t="shared" si="44"/>
        <v>0</v>
      </c>
      <c r="M41" s="67"/>
      <c r="N41" s="67"/>
      <c r="O41" s="67"/>
      <c r="P41" s="67"/>
      <c r="Q41" s="67"/>
      <c r="R41" s="68"/>
    </row>
    <row r="42" spans="2:18" x14ac:dyDescent="0.3">
      <c r="B42" s="226" t="s">
        <v>84</v>
      </c>
      <c r="C42" s="58" t="s">
        <v>79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f>I31-I32-I34-I36-I38</f>
        <v>0</v>
      </c>
      <c r="J42" s="58">
        <f>J31-J34-J36-J38-J40</f>
        <v>0</v>
      </c>
      <c r="K42" s="58">
        <f t="shared" ref="K42:L42" si="45">K31-K34-K36-K38-K40</f>
        <v>0</v>
      </c>
      <c r="L42" s="58">
        <f t="shared" si="45"/>
        <v>133493.57700551918</v>
      </c>
      <c r="M42" s="58">
        <f>M31</f>
        <v>227636.00453659368</v>
      </c>
      <c r="N42" s="58">
        <f t="shared" ref="N42:R42" si="46">N31</f>
        <v>227022.11526767456</v>
      </c>
      <c r="O42" s="58">
        <f t="shared" si="46"/>
        <v>226226.84960875276</v>
      </c>
      <c r="P42" s="58">
        <f t="shared" si="46"/>
        <v>225241.5070738896</v>
      </c>
      <c r="Q42" s="58">
        <f t="shared" si="46"/>
        <v>224057.06097868329</v>
      </c>
      <c r="R42" s="59">
        <f t="shared" si="46"/>
        <v>222664.14735063759</v>
      </c>
    </row>
    <row r="43" spans="2:18" x14ac:dyDescent="0.3">
      <c r="B43" s="277" t="s">
        <v>161</v>
      </c>
      <c r="C43" s="278"/>
      <c r="D43" s="278">
        <f>D42*0.19</f>
        <v>0</v>
      </c>
      <c r="E43" s="278">
        <f t="shared" ref="E43:R43" si="47">E42*0.19</f>
        <v>0</v>
      </c>
      <c r="F43" s="278">
        <f t="shared" si="47"/>
        <v>0</v>
      </c>
      <c r="G43" s="278">
        <f t="shared" si="47"/>
        <v>0</v>
      </c>
      <c r="H43" s="278">
        <f t="shared" si="47"/>
        <v>0</v>
      </c>
      <c r="I43" s="278">
        <f t="shared" si="47"/>
        <v>0</v>
      </c>
      <c r="J43" s="278">
        <f t="shared" si="47"/>
        <v>0</v>
      </c>
      <c r="K43" s="278">
        <f t="shared" si="47"/>
        <v>0</v>
      </c>
      <c r="L43" s="278">
        <f t="shared" si="47"/>
        <v>25363.779631048645</v>
      </c>
      <c r="M43" s="278">
        <f t="shared" si="47"/>
        <v>43250.840861952798</v>
      </c>
      <c r="N43" s="278">
        <f t="shared" si="47"/>
        <v>43134.201900858163</v>
      </c>
      <c r="O43" s="278">
        <f t="shared" si="47"/>
        <v>42983.101425663022</v>
      </c>
      <c r="P43" s="278">
        <f t="shared" si="47"/>
        <v>42795.886344039027</v>
      </c>
      <c r="Q43" s="278">
        <f t="shared" si="47"/>
        <v>42570.841585949827</v>
      </c>
      <c r="R43" s="279">
        <f t="shared" si="47"/>
        <v>42306.187996621142</v>
      </c>
    </row>
    <row r="44" spans="2:18" ht="15" thickBot="1" x14ac:dyDescent="0.35">
      <c r="B44" s="286" t="s">
        <v>87</v>
      </c>
      <c r="C44" s="287"/>
      <c r="D44" s="287">
        <f>D31-D43</f>
        <v>-226635.15857811287</v>
      </c>
      <c r="E44" s="287">
        <f t="shared" ref="E44:R44" si="48">E31-E43</f>
        <v>-257784.16513361648</v>
      </c>
      <c r="F44" s="287">
        <f t="shared" si="48"/>
        <v>-198418.87016240082</v>
      </c>
      <c r="G44" s="287">
        <f t="shared" si="48"/>
        <v>-124517.34424643399</v>
      </c>
      <c r="H44" s="287">
        <f t="shared" si="48"/>
        <v>-33039.60949408781</v>
      </c>
      <c r="I44" s="287">
        <f t="shared" si="48"/>
        <v>228440.98266693752</v>
      </c>
      <c r="J44" s="287">
        <f t="shared" si="48"/>
        <v>228471.74911379151</v>
      </c>
      <c r="K44" s="287">
        <f t="shared" si="48"/>
        <v>228352.88896955329</v>
      </c>
      <c r="L44" s="287">
        <f t="shared" si="48"/>
        <v>202713.12281375207</v>
      </c>
      <c r="M44" s="287">
        <f t="shared" si="48"/>
        <v>184385.16367464088</v>
      </c>
      <c r="N44" s="287">
        <f t="shared" si="48"/>
        <v>183887.91336681638</v>
      </c>
      <c r="O44" s="287">
        <f t="shared" si="48"/>
        <v>183243.74818308974</v>
      </c>
      <c r="P44" s="287">
        <f t="shared" si="48"/>
        <v>182445.62072985058</v>
      </c>
      <c r="Q44" s="287">
        <f t="shared" si="48"/>
        <v>181486.21939273347</v>
      </c>
      <c r="R44" s="288">
        <f t="shared" si="48"/>
        <v>180357.95935401646</v>
      </c>
    </row>
    <row r="45" spans="2:18" ht="15" thickBot="1" x14ac:dyDescent="0.35"/>
    <row r="46" spans="2:18" x14ac:dyDescent="0.3">
      <c r="B46" s="310" t="s">
        <v>162</v>
      </c>
      <c r="C46" s="311">
        <f>-('INJET 388-CRD - Náklady'!C3)</f>
        <v>-668602</v>
      </c>
      <c r="D46" s="312">
        <f>D15-D24-D43</f>
        <v>-153088.93857811287</v>
      </c>
      <c r="E46" s="312">
        <f t="shared" ref="E46:R46" si="49">E15-E24-E43</f>
        <v>-109020.22013361647</v>
      </c>
      <c r="F46" s="312">
        <f t="shared" si="49"/>
        <v>-49654.925162400817</v>
      </c>
      <c r="G46" s="312">
        <f t="shared" si="49"/>
        <v>24246.600753566017</v>
      </c>
      <c r="H46" s="312">
        <f t="shared" si="49"/>
        <v>115724.33550591208</v>
      </c>
      <c r="I46" s="312">
        <f t="shared" si="49"/>
        <v>228440.9826669374</v>
      </c>
      <c r="J46" s="312">
        <f t="shared" si="49"/>
        <v>228471.74911379139</v>
      </c>
      <c r="K46" s="312">
        <f t="shared" si="49"/>
        <v>228352.88896955317</v>
      </c>
      <c r="L46" s="312">
        <f t="shared" si="49"/>
        <v>202713.12281375195</v>
      </c>
      <c r="M46" s="312">
        <f t="shared" si="49"/>
        <v>184385.16367464076</v>
      </c>
      <c r="N46" s="312">
        <f t="shared" si="49"/>
        <v>183887.91336681627</v>
      </c>
      <c r="O46" s="312">
        <f>O15-O24-O43</f>
        <v>183243.74818308963</v>
      </c>
      <c r="P46" s="312">
        <f t="shared" si="49"/>
        <v>182445.62072985046</v>
      </c>
      <c r="Q46" s="312">
        <f t="shared" si="49"/>
        <v>181486.21939273336</v>
      </c>
      <c r="R46" s="313">
        <f t="shared" si="49"/>
        <v>180357.95935401635</v>
      </c>
    </row>
    <row r="47" spans="2:18" x14ac:dyDescent="0.3">
      <c r="B47" s="314" t="s">
        <v>163</v>
      </c>
      <c r="C47" s="315"/>
      <c r="D47" s="316">
        <f>D46</f>
        <v>-153088.93857811287</v>
      </c>
      <c r="E47" s="316">
        <f>D47+E46</f>
        <v>-262109.15871172934</v>
      </c>
      <c r="F47" s="316">
        <f t="shared" ref="F47:R47" si="50">E47+F46</f>
        <v>-311764.08387413016</v>
      </c>
      <c r="G47" s="316">
        <f t="shared" si="50"/>
        <v>-287517.48312056414</v>
      </c>
      <c r="H47" s="316">
        <f t="shared" si="50"/>
        <v>-171793.14761465206</v>
      </c>
      <c r="I47" s="316">
        <f t="shared" si="50"/>
        <v>56647.835052285343</v>
      </c>
      <c r="J47" s="316">
        <f t="shared" si="50"/>
        <v>285119.58416607673</v>
      </c>
      <c r="K47" s="316">
        <f t="shared" si="50"/>
        <v>513472.4731356299</v>
      </c>
      <c r="L47" s="316">
        <f t="shared" si="50"/>
        <v>716185.59594938182</v>
      </c>
      <c r="M47" s="316">
        <f t="shared" si="50"/>
        <v>900570.75962402252</v>
      </c>
      <c r="N47" s="316">
        <f t="shared" si="50"/>
        <v>1084458.6729908388</v>
      </c>
      <c r="O47" s="316">
        <f t="shared" si="50"/>
        <v>1267702.4211739283</v>
      </c>
      <c r="P47" s="316">
        <f t="shared" si="50"/>
        <v>1450148.0419037787</v>
      </c>
      <c r="Q47" s="316">
        <f t="shared" si="50"/>
        <v>1631634.2612965121</v>
      </c>
      <c r="R47" s="317">
        <f t="shared" si="50"/>
        <v>1811992.2206505286</v>
      </c>
    </row>
    <row r="48" spans="2:18" x14ac:dyDescent="0.3">
      <c r="B48" s="318" t="s">
        <v>100</v>
      </c>
      <c r="C48" s="319"/>
      <c r="D48" s="320">
        <f>D46/(1+$C$55)^D4</f>
        <v>-140448.56750285582</v>
      </c>
      <c r="E48" s="320">
        <f>E46/(1+$C$55)^E4</f>
        <v>-91760.138147981197</v>
      </c>
      <c r="F48" s="320">
        <f t="shared" ref="F48:R48" si="51">F46/(1+$C$55)^F4</f>
        <v>-38342.712914074364</v>
      </c>
      <c r="G48" s="320">
        <f t="shared" si="51"/>
        <v>17176.903256458558</v>
      </c>
      <c r="H48" s="320">
        <f t="shared" si="51"/>
        <v>75212.877803812255</v>
      </c>
      <c r="I48" s="320">
        <f t="shared" si="51"/>
        <v>136211.89408447605</v>
      </c>
      <c r="J48" s="320">
        <f t="shared" si="51"/>
        <v>124981.87074449472</v>
      </c>
      <c r="K48" s="320">
        <f t="shared" si="51"/>
        <v>114602.61483967834</v>
      </c>
      <c r="L48" s="320">
        <f t="shared" si="51"/>
        <v>93334.753015951021</v>
      </c>
      <c r="M48" s="320">
        <f t="shared" si="51"/>
        <v>77886.285767398673</v>
      </c>
      <c r="N48" s="320">
        <f t="shared" si="51"/>
        <v>71262.607214349904</v>
      </c>
      <c r="O48" s="320">
        <f t="shared" si="51"/>
        <v>65149.51563724377</v>
      </c>
      <c r="P48" s="320">
        <f t="shared" si="51"/>
        <v>59509.86569959511</v>
      </c>
      <c r="Q48" s="320">
        <f t="shared" si="51"/>
        <v>54309.109605170124</v>
      </c>
      <c r="R48" s="321">
        <f t="shared" si="51"/>
        <v>49515.120896282555</v>
      </c>
    </row>
    <row r="49" spans="1:18" ht="15" thickBot="1" x14ac:dyDescent="0.35">
      <c r="B49" s="262" t="s">
        <v>101</v>
      </c>
      <c r="C49" s="263"/>
      <c r="D49" s="322">
        <f>D48</f>
        <v>-140448.56750285582</v>
      </c>
      <c r="E49" s="322">
        <f>D49+E48</f>
        <v>-232208.70565083702</v>
      </c>
      <c r="F49" s="322">
        <f t="shared" ref="F49:R49" si="52">E49+F48</f>
        <v>-270551.41856491135</v>
      </c>
      <c r="G49" s="322">
        <f t="shared" si="52"/>
        <v>-253374.5153084528</v>
      </c>
      <c r="H49" s="322">
        <f t="shared" si="52"/>
        <v>-178161.63750464056</v>
      </c>
      <c r="I49" s="322">
        <f t="shared" si="52"/>
        <v>-41949.743420164508</v>
      </c>
      <c r="J49" s="322">
        <f t="shared" si="52"/>
        <v>83032.127324330213</v>
      </c>
      <c r="K49" s="322">
        <f t="shared" si="52"/>
        <v>197634.74216400855</v>
      </c>
      <c r="L49" s="322">
        <f t="shared" si="52"/>
        <v>290969.49517995957</v>
      </c>
      <c r="M49" s="322">
        <f t="shared" si="52"/>
        <v>368855.78094735823</v>
      </c>
      <c r="N49" s="322">
        <f t="shared" si="52"/>
        <v>440118.38816170814</v>
      </c>
      <c r="O49" s="322">
        <f t="shared" si="52"/>
        <v>505267.90379895188</v>
      </c>
      <c r="P49" s="322">
        <f t="shared" si="52"/>
        <v>564777.76949854696</v>
      </c>
      <c r="Q49" s="322">
        <f t="shared" si="52"/>
        <v>619086.87910371704</v>
      </c>
      <c r="R49" s="323">
        <f t="shared" si="52"/>
        <v>668601.99999999965</v>
      </c>
    </row>
    <row r="51" spans="1:18" ht="15" thickBot="1" x14ac:dyDescent="0.35"/>
    <row r="52" spans="1:18" x14ac:dyDescent="0.3">
      <c r="B52" s="280" t="s">
        <v>88</v>
      </c>
      <c r="C52" s="281">
        <f>SUM(D44:R44)</f>
        <v>1143390.22065053</v>
      </c>
    </row>
    <row r="53" spans="1:18" x14ac:dyDescent="0.3">
      <c r="B53" s="282" t="s">
        <v>89</v>
      </c>
      <c r="C53" s="283">
        <f>NPV(C55,D46:R46)+C46</f>
        <v>0</v>
      </c>
    </row>
    <row r="54" spans="1:18" x14ac:dyDescent="0.3">
      <c r="B54" s="282" t="s">
        <v>116</v>
      </c>
      <c r="C54" s="284">
        <f>IRR(C46:R46)</f>
        <v>9.000000000000008E-2</v>
      </c>
    </row>
    <row r="55" spans="1:18" ht="15" thickBot="1" x14ac:dyDescent="0.35">
      <c r="B55" s="262" t="s">
        <v>90</v>
      </c>
      <c r="C55" s="285">
        <v>0.09</v>
      </c>
    </row>
    <row r="60" spans="1:18" ht="15" thickBot="1" x14ac:dyDescent="0.35"/>
    <row r="61" spans="1:18" ht="16.2" thickBot="1" x14ac:dyDescent="0.35">
      <c r="A61" s="384" t="s">
        <v>151</v>
      </c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  <c r="M61" s="385"/>
      <c r="N61" s="290"/>
      <c r="O61" s="290"/>
      <c r="P61" s="290"/>
      <c r="Q61" s="290"/>
      <c r="R61" s="291"/>
    </row>
    <row r="62" spans="1:18" x14ac:dyDescent="0.3">
      <c r="A62" s="66"/>
      <c r="B62" s="220" t="s">
        <v>123</v>
      </c>
      <c r="C62" s="58"/>
      <c r="D62" s="293">
        <v>668602</v>
      </c>
      <c r="E62" s="293">
        <v>668602</v>
      </c>
      <c r="F62" s="293">
        <v>668602</v>
      </c>
      <c r="G62" s="293">
        <v>668602</v>
      </c>
      <c r="H62" s="293">
        <v>668602</v>
      </c>
      <c r="I62" s="293">
        <v>668602</v>
      </c>
      <c r="J62" s="293">
        <v>668602</v>
      </c>
      <c r="K62" s="293">
        <v>668602</v>
      </c>
      <c r="L62" s="293">
        <v>668602</v>
      </c>
      <c r="M62" s="293">
        <v>668602</v>
      </c>
      <c r="N62" s="293">
        <v>668602</v>
      </c>
      <c r="O62" s="293">
        <v>668602</v>
      </c>
      <c r="P62" s="293">
        <v>668602</v>
      </c>
      <c r="Q62" s="293">
        <v>668602</v>
      </c>
      <c r="R62" s="294">
        <v>668602</v>
      </c>
    </row>
    <row r="63" spans="1:18" s="309" customFormat="1" x14ac:dyDescent="0.3">
      <c r="A63" s="185"/>
      <c r="B63" s="218" t="s">
        <v>168</v>
      </c>
      <c r="C63" s="218"/>
      <c r="D63" s="305">
        <f>D13</f>
        <v>1250</v>
      </c>
      <c r="E63" s="305">
        <f>D63+E13</f>
        <v>2725</v>
      </c>
      <c r="F63" s="305">
        <f t="shared" ref="F63:R63" si="53">E63+F13</f>
        <v>4465.5</v>
      </c>
      <c r="G63" s="305">
        <f t="shared" si="53"/>
        <v>6519.29</v>
      </c>
      <c r="H63" s="305">
        <f t="shared" si="53"/>
        <v>8942.762200000001</v>
      </c>
      <c r="I63" s="305">
        <f t="shared" si="53"/>
        <v>11802.459396000002</v>
      </c>
      <c r="J63" s="305">
        <f t="shared" si="53"/>
        <v>14662.156592000003</v>
      </c>
      <c r="K63" s="305">
        <f t="shared" si="53"/>
        <v>17521.853788000004</v>
      </c>
      <c r="L63" s="305">
        <f t="shared" si="53"/>
        <v>20381.550984000005</v>
      </c>
      <c r="M63" s="305">
        <f t="shared" si="53"/>
        <v>23241.248180000006</v>
      </c>
      <c r="N63" s="305">
        <f t="shared" si="53"/>
        <v>26100.945376000007</v>
      </c>
      <c r="O63" s="305">
        <f t="shared" si="53"/>
        <v>28960.642572000008</v>
      </c>
      <c r="P63" s="305">
        <f t="shared" si="53"/>
        <v>31820.339768000009</v>
      </c>
      <c r="Q63" s="305">
        <f t="shared" si="53"/>
        <v>34680.036964000006</v>
      </c>
      <c r="R63" s="305">
        <f t="shared" si="53"/>
        <v>37539.734160000007</v>
      </c>
    </row>
    <row r="64" spans="1:18" x14ac:dyDescent="0.3">
      <c r="A64" s="32"/>
      <c r="B64" s="85" t="s">
        <v>171</v>
      </c>
      <c r="C64" s="67"/>
      <c r="D64" s="299">
        <f>D27</f>
        <v>736035.51916666667</v>
      </c>
      <c r="E64" s="299">
        <f>D64+E27</f>
        <v>1537615.0858833333</v>
      </c>
      <c r="F64" s="299">
        <f t="shared" ref="F64:R64" si="54">E64+F27</f>
        <v>2411759.2827797597</v>
      </c>
      <c r="G64" s="299">
        <f t="shared" si="54"/>
        <v>3370792.8116719341</v>
      </c>
      <c r="H64" s="299">
        <f t="shared" si="54"/>
        <v>4429469.2823943011</v>
      </c>
      <c r="I64" s="299">
        <f t="shared" si="54"/>
        <v>5605461.9522903878</v>
      </c>
      <c r="J64" s="299">
        <f t="shared" si="54"/>
        <v>6808621.059457548</v>
      </c>
      <c r="K64" s="299">
        <f t="shared" si="54"/>
        <v>8039640.1745612314</v>
      </c>
      <c r="L64" s="299">
        <f t="shared" si="54"/>
        <v>9299231.2469377983</v>
      </c>
      <c r="M64" s="299">
        <f t="shared" si="54"/>
        <v>10588125.107385667</v>
      </c>
      <c r="N64" s="299">
        <f t="shared" si="54"/>
        <v>11907071.985068811</v>
      </c>
      <c r="O64" s="299">
        <f t="shared" si="54"/>
        <v>13256842.038936559</v>
      </c>
      <c r="P64" s="299">
        <f t="shared" si="54"/>
        <v>14638225.904075367</v>
      </c>
      <c r="Q64" s="299">
        <f t="shared" si="54"/>
        <v>16052035.253420303</v>
      </c>
      <c r="R64" s="299">
        <f t="shared" si="54"/>
        <v>17499103.375266422</v>
      </c>
    </row>
    <row r="65" spans="1:18" x14ac:dyDescent="0.3">
      <c r="A65" s="32"/>
      <c r="B65" s="85"/>
      <c r="C65" s="295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70"/>
    </row>
    <row r="66" spans="1:18" x14ac:dyDescent="0.3">
      <c r="A66" s="386" t="s">
        <v>172</v>
      </c>
      <c r="B66" s="118" t="s">
        <v>124</v>
      </c>
      <c r="C66" s="296" t="s">
        <v>79</v>
      </c>
      <c r="D66" s="289">
        <v>538180.09919969703</v>
      </c>
      <c r="E66" s="289">
        <v>647753.56739675533</v>
      </c>
      <c r="F66" s="289">
        <v>779636.19371873478</v>
      </c>
      <c r="G66" s="289">
        <v>938370.12275986921</v>
      </c>
      <c r="H66" s="289">
        <v>1129422.2797537786</v>
      </c>
      <c r="I66" s="289">
        <v>1359372.6559116479</v>
      </c>
      <c r="J66" s="289">
        <v>1386560.109029881</v>
      </c>
      <c r="K66" s="289">
        <v>1414291.3112104787</v>
      </c>
      <c r="L66" s="289">
        <v>1442577.1374346882</v>
      </c>
      <c r="M66" s="289">
        <v>1471428.680183382</v>
      </c>
      <c r="N66" s="289">
        <v>1500857.2537870498</v>
      </c>
      <c r="O66" s="289">
        <v>1530874.3988627905</v>
      </c>
      <c r="P66" s="289">
        <v>1561491.8868400464</v>
      </c>
      <c r="Q66" s="289">
        <v>1592721.7245768474</v>
      </c>
      <c r="R66" s="292">
        <v>1624576.1590683844</v>
      </c>
    </row>
    <row r="67" spans="1:18" x14ac:dyDescent="0.3">
      <c r="A67" s="387"/>
      <c r="B67" s="85" t="s">
        <v>169</v>
      </c>
      <c r="C67" s="295"/>
      <c r="D67" s="289">
        <f>D66</f>
        <v>538180.09919969703</v>
      </c>
      <c r="E67" s="289">
        <f>E66+D67</f>
        <v>1185933.6665964522</v>
      </c>
      <c r="F67" s="289">
        <f t="shared" ref="F67:R67" si="55">F66+E67</f>
        <v>1965569.8603151869</v>
      </c>
      <c r="G67" s="289">
        <f t="shared" si="55"/>
        <v>2903939.9830750562</v>
      </c>
      <c r="H67" s="289">
        <f t="shared" si="55"/>
        <v>4033362.2628288348</v>
      </c>
      <c r="I67" s="289">
        <f t="shared" si="55"/>
        <v>5392734.918740483</v>
      </c>
      <c r="J67" s="289">
        <f t="shared" si="55"/>
        <v>6779295.0277703637</v>
      </c>
      <c r="K67" s="289">
        <f t="shared" si="55"/>
        <v>8193586.3389808424</v>
      </c>
      <c r="L67" s="289">
        <f t="shared" si="55"/>
        <v>9636163.4764155298</v>
      </c>
      <c r="M67" s="289">
        <f t="shared" si="55"/>
        <v>11107592.156598913</v>
      </c>
      <c r="N67" s="289">
        <f t="shared" si="55"/>
        <v>12608449.410385963</v>
      </c>
      <c r="O67" s="289">
        <f t="shared" si="55"/>
        <v>14139323.809248753</v>
      </c>
      <c r="P67" s="289">
        <f t="shared" si="55"/>
        <v>15700815.696088798</v>
      </c>
      <c r="Q67" s="289">
        <f t="shared" si="55"/>
        <v>17293537.420665644</v>
      </c>
      <c r="R67" s="289">
        <f t="shared" si="55"/>
        <v>18918113.579734027</v>
      </c>
    </row>
    <row r="68" spans="1:18" x14ac:dyDescent="0.3">
      <c r="A68" s="387"/>
      <c r="B68" s="85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297"/>
      <c r="O68" s="297"/>
      <c r="P68" s="297"/>
      <c r="Q68" s="297"/>
      <c r="R68" s="298"/>
    </row>
    <row r="69" spans="1:18" x14ac:dyDescent="0.3">
      <c r="A69" s="387"/>
      <c r="B69" s="85" t="s">
        <v>148</v>
      </c>
      <c r="C69" s="299">
        <v>-668602</v>
      </c>
      <c r="D69" s="299">
        <v>-153281.95330030296</v>
      </c>
      <c r="E69" s="299">
        <v>-109252.53265324456</v>
      </c>
      <c r="F69" s="299">
        <v>-49934.536511025159</v>
      </c>
      <c r="G69" s="299">
        <v>23910.06053436175</v>
      </c>
      <c r="H69" s="299">
        <v>115319.27569807786</v>
      </c>
      <c r="I69" s="299">
        <v>227953.45268222806</v>
      </c>
      <c r="J69" s="299">
        <v>227974.46852938784</v>
      </c>
      <c r="K69" s="299">
        <v>227845.66277346178</v>
      </c>
      <c r="L69" s="299">
        <v>208861.98147305098</v>
      </c>
      <c r="M69" s="299">
        <v>183957.71198576567</v>
      </c>
      <c r="N69" s="297">
        <v>183451.91264416391</v>
      </c>
      <c r="O69" s="297">
        <v>182799.02744598396</v>
      </c>
      <c r="P69" s="297">
        <v>181992.00557800278</v>
      </c>
      <c r="Q69" s="297">
        <v>181023.53193784889</v>
      </c>
      <c r="R69" s="298">
        <v>179886.01815003419</v>
      </c>
    </row>
    <row r="70" spans="1:18" x14ac:dyDescent="0.3">
      <c r="A70" s="387"/>
      <c r="B70" s="85" t="s">
        <v>163</v>
      </c>
      <c r="C70" s="299"/>
      <c r="D70" s="299">
        <f>D69</f>
        <v>-153281.95330030296</v>
      </c>
      <c r="E70" s="299">
        <f>D70+E69</f>
        <v>-262534.48595354753</v>
      </c>
      <c r="F70" s="299">
        <f t="shared" ref="F70:M70" si="56">E70+F69</f>
        <v>-312469.02246457268</v>
      </c>
      <c r="G70" s="299">
        <f t="shared" si="56"/>
        <v>-288558.96193021093</v>
      </c>
      <c r="H70" s="299">
        <f t="shared" si="56"/>
        <v>-173239.68623213307</v>
      </c>
      <c r="I70" s="299">
        <f t="shared" si="56"/>
        <v>54713.76645009499</v>
      </c>
      <c r="J70" s="299">
        <f t="shared" si="56"/>
        <v>282688.23497948283</v>
      </c>
      <c r="K70" s="299">
        <f t="shared" si="56"/>
        <v>510533.89775294461</v>
      </c>
      <c r="L70" s="299">
        <f t="shared" si="56"/>
        <v>719395.87922599562</v>
      </c>
      <c r="M70" s="299">
        <f t="shared" si="56"/>
        <v>903353.59121176135</v>
      </c>
      <c r="N70" s="299">
        <f t="shared" ref="N70" si="57">M70+N69</f>
        <v>1086805.5038559253</v>
      </c>
      <c r="O70" s="299">
        <f t="shared" ref="O70" si="58">N70+O69</f>
        <v>1269604.5313019091</v>
      </c>
      <c r="P70" s="299">
        <f t="shared" ref="P70" si="59">O70+P69</f>
        <v>1451596.536879912</v>
      </c>
      <c r="Q70" s="299">
        <f t="shared" ref="Q70" si="60">P70+Q69</f>
        <v>1632620.0688177608</v>
      </c>
      <c r="R70" s="300">
        <f t="shared" ref="R70" si="61">Q70+R69</f>
        <v>1812506.0869677949</v>
      </c>
    </row>
    <row r="71" spans="1:18" x14ac:dyDescent="0.3">
      <c r="A71" s="387"/>
      <c r="B71" s="85" t="s">
        <v>100</v>
      </c>
      <c r="C71" s="299"/>
      <c r="D71" s="299">
        <f>D69/(1+$C$55)^D4</f>
        <v>-140625.64522963573</v>
      </c>
      <c r="E71" s="299">
        <f t="shared" ref="E71:R71" si="62">E69/(1+$C$55)^E4</f>
        <v>-91955.670947937499</v>
      </c>
      <c r="F71" s="299">
        <f t="shared" si="62"/>
        <v>-38558.624178319675</v>
      </c>
      <c r="G71" s="299">
        <f t="shared" si="62"/>
        <v>16938.489680636845</v>
      </c>
      <c r="H71" s="299">
        <f t="shared" si="62"/>
        <v>74949.616721372833</v>
      </c>
      <c r="I71" s="299">
        <f t="shared" si="62"/>
        <v>135921.19588371992</v>
      </c>
      <c r="J71" s="299">
        <f t="shared" si="62"/>
        <v>124709.84123553029</v>
      </c>
      <c r="K71" s="299">
        <f t="shared" si="62"/>
        <v>114348.05511569338</v>
      </c>
      <c r="L71" s="299">
        <f t="shared" si="62"/>
        <v>96165.85835501166</v>
      </c>
      <c r="M71" s="299">
        <f t="shared" si="62"/>
        <v>77705.72555459202</v>
      </c>
      <c r="N71" s="299">
        <f t="shared" si="62"/>
        <v>71093.642611540112</v>
      </c>
      <c r="O71" s="299">
        <f t="shared" si="62"/>
        <v>64991.401972228996</v>
      </c>
      <c r="P71" s="299">
        <f t="shared" si="62"/>
        <v>59361.9061231593</v>
      </c>
      <c r="Q71" s="299">
        <f t="shared" si="62"/>
        <v>54170.652019881622</v>
      </c>
      <c r="R71" s="300">
        <f t="shared" si="62"/>
        <v>49385.555082526342</v>
      </c>
    </row>
    <row r="72" spans="1:18" x14ac:dyDescent="0.3">
      <c r="A72" s="388"/>
      <c r="B72" s="119" t="s">
        <v>101</v>
      </c>
      <c r="C72" s="301"/>
      <c r="D72" s="301">
        <f>D71</f>
        <v>-140625.64522963573</v>
      </c>
      <c r="E72" s="301">
        <f>D72+E71</f>
        <v>-232581.31617757323</v>
      </c>
      <c r="F72" s="301">
        <f t="shared" ref="F72:R72" si="63">E72+F71</f>
        <v>-271139.94035589288</v>
      </c>
      <c r="G72" s="301">
        <f t="shared" si="63"/>
        <v>-254201.45067525603</v>
      </c>
      <c r="H72" s="301">
        <f t="shared" si="63"/>
        <v>-179251.83395388321</v>
      </c>
      <c r="I72" s="301">
        <f t="shared" si="63"/>
        <v>-43330.638070163288</v>
      </c>
      <c r="J72" s="301">
        <f t="shared" si="63"/>
        <v>81379.203165366998</v>
      </c>
      <c r="K72" s="301">
        <f t="shared" si="63"/>
        <v>195727.25828106038</v>
      </c>
      <c r="L72" s="301">
        <f t="shared" si="63"/>
        <v>291893.11663607205</v>
      </c>
      <c r="M72" s="301">
        <f t="shared" si="63"/>
        <v>369598.84219066409</v>
      </c>
      <c r="N72" s="301">
        <f t="shared" si="63"/>
        <v>440692.48480220418</v>
      </c>
      <c r="O72" s="301">
        <f t="shared" si="63"/>
        <v>505683.88677443319</v>
      </c>
      <c r="P72" s="301">
        <f t="shared" si="63"/>
        <v>565045.79289759253</v>
      </c>
      <c r="Q72" s="301">
        <f t="shared" si="63"/>
        <v>619216.44491747417</v>
      </c>
      <c r="R72" s="302">
        <f t="shared" si="63"/>
        <v>668602.00000000047</v>
      </c>
    </row>
    <row r="73" spans="1:18" x14ac:dyDescent="0.3">
      <c r="A73" s="32"/>
      <c r="B73" s="85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307"/>
      <c r="O73" s="307"/>
      <c r="P73" s="307"/>
      <c r="Q73" s="307"/>
      <c r="R73" s="308"/>
    </row>
    <row r="74" spans="1:18" x14ac:dyDescent="0.3">
      <c r="A74" s="386" t="s">
        <v>165</v>
      </c>
      <c r="B74" s="118" t="s">
        <v>124</v>
      </c>
      <c r="C74" s="296" t="s">
        <v>79</v>
      </c>
      <c r="D74" s="46">
        <v>560000</v>
      </c>
      <c r="E74" s="46">
        <v>674016</v>
      </c>
      <c r="F74" s="46">
        <v>811245.65760000004</v>
      </c>
      <c r="G74" s="46">
        <v>976415.27348735998</v>
      </c>
      <c r="H74" s="46">
        <v>1175213.4231693866</v>
      </c>
      <c r="I74" s="46">
        <v>1414486.8761266735</v>
      </c>
      <c r="J74" s="46">
        <v>1442776.6136492069</v>
      </c>
      <c r="K74" s="46">
        <v>1471632.1459221912</v>
      </c>
      <c r="L74" s="46">
        <v>1501064.7888406352</v>
      </c>
      <c r="M74" s="46">
        <v>1531086.084617448</v>
      </c>
      <c r="N74" s="67">
        <v>1561707.8063097969</v>
      </c>
      <c r="O74" s="67">
        <v>1592941.9624359927</v>
      </c>
      <c r="P74" s="67">
        <v>1624800.8016847128</v>
      </c>
      <c r="Q74" s="67">
        <v>1657296.8177184069</v>
      </c>
      <c r="R74" s="68">
        <v>1690442.7540727749</v>
      </c>
    </row>
    <row r="75" spans="1:18" x14ac:dyDescent="0.3">
      <c r="A75" s="387"/>
      <c r="B75" s="85" t="s">
        <v>169</v>
      </c>
      <c r="C75" s="295"/>
      <c r="D75" s="67">
        <f>D74</f>
        <v>560000</v>
      </c>
      <c r="E75" s="67">
        <f>D75+E74</f>
        <v>1234016</v>
      </c>
      <c r="F75" s="67">
        <f t="shared" ref="F75:R75" si="64">E75+F74</f>
        <v>2045261.6576</v>
      </c>
      <c r="G75" s="67">
        <f t="shared" si="64"/>
        <v>3021676.9310873598</v>
      </c>
      <c r="H75" s="67">
        <f t="shared" si="64"/>
        <v>4196890.3542567464</v>
      </c>
      <c r="I75" s="67">
        <f t="shared" si="64"/>
        <v>5611377.2303834204</v>
      </c>
      <c r="J75" s="67">
        <f t="shared" si="64"/>
        <v>7054153.8440326275</v>
      </c>
      <c r="K75" s="67">
        <f t="shared" si="64"/>
        <v>8525785.989954818</v>
      </c>
      <c r="L75" s="67">
        <f t="shared" si="64"/>
        <v>10026850.778795453</v>
      </c>
      <c r="M75" s="67">
        <f t="shared" si="64"/>
        <v>11557936.863412902</v>
      </c>
      <c r="N75" s="67">
        <f t="shared" si="64"/>
        <v>13119644.669722699</v>
      </c>
      <c r="O75" s="67">
        <f t="shared" si="64"/>
        <v>14712586.632158691</v>
      </c>
      <c r="P75" s="67">
        <f t="shared" si="64"/>
        <v>16337387.433843404</v>
      </c>
      <c r="Q75" s="67">
        <f t="shared" si="64"/>
        <v>17994684.251561809</v>
      </c>
      <c r="R75" s="67">
        <f t="shared" si="64"/>
        <v>19685127.005634584</v>
      </c>
    </row>
    <row r="76" spans="1:18" x14ac:dyDescent="0.3">
      <c r="A76" s="387"/>
      <c r="B76" s="85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8"/>
    </row>
    <row r="77" spans="1:18" x14ac:dyDescent="0.3">
      <c r="A77" s="387"/>
      <c r="B77" s="85" t="s">
        <v>148</v>
      </c>
      <c r="C77" s="67">
        <v>-668602</v>
      </c>
      <c r="D77" s="67">
        <v>-131462.05249999999</v>
      </c>
      <c r="E77" s="67">
        <v>-82990.100049999892</v>
      </c>
      <c r="F77" s="67">
        <v>-18325.072629759903</v>
      </c>
      <c r="G77" s="67">
        <v>61955.211261852528</v>
      </c>
      <c r="H77" s="67">
        <v>161110.41911368584</v>
      </c>
      <c r="I77" s="67">
        <v>283067.67289725365</v>
      </c>
      <c r="J77" s="67">
        <v>284190.97314871382</v>
      </c>
      <c r="K77" s="67">
        <v>252101.50322705938</v>
      </c>
      <c r="L77" s="67">
        <v>231698.21833589463</v>
      </c>
      <c r="M77" s="67">
        <v>232280.20957735914</v>
      </c>
      <c r="N77" s="67">
        <v>232740.86018758905</v>
      </c>
      <c r="O77" s="67">
        <v>233073.75394027767</v>
      </c>
      <c r="P77" s="67">
        <v>233272.22660218252</v>
      </c>
      <c r="Q77" s="67">
        <v>233329.3573825121</v>
      </c>
      <c r="R77" s="68">
        <v>233237.96010359045</v>
      </c>
    </row>
    <row r="78" spans="1:18" x14ac:dyDescent="0.3">
      <c r="A78" s="387"/>
      <c r="B78" s="85" t="s">
        <v>163</v>
      </c>
      <c r="C78" s="299" t="s">
        <v>164</v>
      </c>
      <c r="D78" s="299">
        <f>D77</f>
        <v>-131462.05249999999</v>
      </c>
      <c r="E78" s="299">
        <f>D78+E77</f>
        <v>-214452.15254999988</v>
      </c>
      <c r="F78" s="299">
        <f t="shared" ref="F78:M78" si="65">E78+F77</f>
        <v>-232777.22517975979</v>
      </c>
      <c r="G78" s="299">
        <f t="shared" si="65"/>
        <v>-170822.01391790726</v>
      </c>
      <c r="H78" s="299">
        <f t="shared" si="65"/>
        <v>-9711.594804221415</v>
      </c>
      <c r="I78" s="299">
        <f t="shared" si="65"/>
        <v>273356.07809303224</v>
      </c>
      <c r="J78" s="299">
        <f t="shared" si="65"/>
        <v>557547.05124174606</v>
      </c>
      <c r="K78" s="299">
        <f t="shared" si="65"/>
        <v>809648.55446880544</v>
      </c>
      <c r="L78" s="299">
        <f t="shared" si="65"/>
        <v>1041346.7728047001</v>
      </c>
      <c r="M78" s="299">
        <f t="shared" si="65"/>
        <v>1273626.9823820591</v>
      </c>
      <c r="N78" s="299">
        <f t="shared" ref="N78" si="66">M78+N77</f>
        <v>1506367.8425696481</v>
      </c>
      <c r="O78" s="299">
        <f t="shared" ref="O78" si="67">N78+O77</f>
        <v>1739441.5965099258</v>
      </c>
      <c r="P78" s="299">
        <f t="shared" ref="P78" si="68">O78+P77</f>
        <v>1972713.8231121083</v>
      </c>
      <c r="Q78" s="299">
        <f t="shared" ref="Q78" si="69">P78+Q77</f>
        <v>2206043.1804946205</v>
      </c>
      <c r="R78" s="300">
        <f t="shared" ref="R78" si="70">Q78+R77</f>
        <v>2439281.140598211</v>
      </c>
    </row>
    <row r="79" spans="1:18" x14ac:dyDescent="0.3">
      <c r="A79" s="387"/>
      <c r="B79" s="85" t="s">
        <v>100</v>
      </c>
      <c r="C79" s="299"/>
      <c r="D79" s="299">
        <f>D77/(1+$C$55)^D4</f>
        <v>-120607.38761467888</v>
      </c>
      <c r="E79" s="299">
        <f t="shared" ref="E79:R79" si="71">E77/(1+$C$55)^E4</f>
        <v>-69851.10685127505</v>
      </c>
      <c r="F79" s="299">
        <f t="shared" si="71"/>
        <v>-14150.318355619758</v>
      </c>
      <c r="G79" s="299">
        <f t="shared" si="71"/>
        <v>43890.63361476671</v>
      </c>
      <c r="H79" s="299">
        <f t="shared" si="71"/>
        <v>104710.71804166527</v>
      </c>
      <c r="I79" s="299">
        <f t="shared" si="71"/>
        <v>168784.00464436569</v>
      </c>
      <c r="J79" s="299">
        <f t="shared" si="71"/>
        <v>155462.19438769412</v>
      </c>
      <c r="K79" s="299">
        <f t="shared" si="71"/>
        <v>126521.24352447664</v>
      </c>
      <c r="L79" s="299">
        <f t="shared" si="71"/>
        <v>106680.29618627905</v>
      </c>
      <c r="M79" s="299">
        <f t="shared" si="71"/>
        <v>98117.670753472004</v>
      </c>
      <c r="N79" s="299">
        <f t="shared" si="71"/>
        <v>90194.728944436894</v>
      </c>
      <c r="O79" s="299">
        <f t="shared" si="71"/>
        <v>82865.813036040694</v>
      </c>
      <c r="P79" s="299">
        <f t="shared" si="71"/>
        <v>76088.419228744606</v>
      </c>
      <c r="Q79" s="299">
        <f t="shared" si="71"/>
        <v>69822.985384741231</v>
      </c>
      <c r="R79" s="300">
        <f t="shared" si="71"/>
        <v>64032.692726706831</v>
      </c>
    </row>
    <row r="80" spans="1:18" ht="15" thickBot="1" x14ac:dyDescent="0.35">
      <c r="A80" s="394"/>
      <c r="B80" s="60" t="s">
        <v>101</v>
      </c>
      <c r="C80" s="303"/>
      <c r="D80" s="303">
        <f>D79</f>
        <v>-120607.38761467888</v>
      </c>
      <c r="E80" s="303">
        <f>D80+E79</f>
        <v>-190458.49446595393</v>
      </c>
      <c r="F80" s="303">
        <f t="shared" ref="F80:R80" si="72">E80+F79</f>
        <v>-204608.81282157369</v>
      </c>
      <c r="G80" s="303">
        <f t="shared" si="72"/>
        <v>-160718.17920680699</v>
      </c>
      <c r="H80" s="303">
        <f t="shared" si="72"/>
        <v>-56007.461165141722</v>
      </c>
      <c r="I80" s="303">
        <f t="shared" si="72"/>
        <v>112776.54347922397</v>
      </c>
      <c r="J80" s="303">
        <f t="shared" si="72"/>
        <v>268238.73786691809</v>
      </c>
      <c r="K80" s="303">
        <f t="shared" si="72"/>
        <v>394759.98139139474</v>
      </c>
      <c r="L80" s="303">
        <f t="shared" si="72"/>
        <v>501440.27757767378</v>
      </c>
      <c r="M80" s="303">
        <f t="shared" si="72"/>
        <v>599557.9483311458</v>
      </c>
      <c r="N80" s="303">
        <f t="shared" si="72"/>
        <v>689752.67727558268</v>
      </c>
      <c r="O80" s="303">
        <f t="shared" si="72"/>
        <v>772618.49031162332</v>
      </c>
      <c r="P80" s="303">
        <f t="shared" si="72"/>
        <v>848706.90954036789</v>
      </c>
      <c r="Q80" s="303">
        <f t="shared" si="72"/>
        <v>918529.89492510911</v>
      </c>
      <c r="R80" s="304">
        <f t="shared" si="72"/>
        <v>982562.58765181596</v>
      </c>
    </row>
  </sheetData>
  <mergeCells count="16">
    <mergeCell ref="H1:I1"/>
    <mergeCell ref="N1:Q1"/>
    <mergeCell ref="B3:B4"/>
    <mergeCell ref="U5:V5"/>
    <mergeCell ref="A74:A80"/>
    <mergeCell ref="X5:Z5"/>
    <mergeCell ref="X6:Y6"/>
    <mergeCell ref="Z6:Z7"/>
    <mergeCell ref="A61:M61"/>
    <mergeCell ref="A66:A72"/>
    <mergeCell ref="B5:R5"/>
    <mergeCell ref="X22:AA22"/>
    <mergeCell ref="X24:X25"/>
    <mergeCell ref="Y24:Y25"/>
    <mergeCell ref="Z24:Z25"/>
    <mergeCell ref="AA24:AA25"/>
  </mergeCells>
  <pageMargins left="1.3779527559055118" right="1.3779527559055118" top="1.3779527559055118" bottom="1.3779527559055118" header="0.31496062992125984" footer="0.31496062992125984"/>
  <pageSetup paperSize="9" scale="22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Mini SWASH II - Náklady</vt:lpstr>
      <vt:lpstr>Mini SWASH II - Kalkulace P1</vt:lpstr>
      <vt:lpstr>Mini SWASH II - Kalkulace</vt:lpstr>
      <vt:lpstr>INJET 388-CRD - Náklady</vt:lpstr>
      <vt:lpstr>INJET 388-CRD - Kalkulace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Froš</dc:creator>
  <cp:lastModifiedBy>Denis Froš</cp:lastModifiedBy>
  <cp:lastPrinted>2017-05-22T09:31:47Z</cp:lastPrinted>
  <dcterms:created xsi:type="dcterms:W3CDTF">2017-02-27T15:15:29Z</dcterms:created>
  <dcterms:modified xsi:type="dcterms:W3CDTF">2017-05-22T12:12:24Z</dcterms:modified>
</cp:coreProperties>
</file>