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klep" sheetId="1" r:id="rId1"/>
    <sheet name="List2" sheetId="3" r:id="rId2"/>
    <sheet name="List1" sheetId="2" r:id="rId3"/>
  </sheets>
  <calcPr calcId="152511"/>
</workbook>
</file>

<file path=xl/calcChain.xml><?xml version="1.0" encoding="utf-8"?>
<calcChain xmlns="http://schemas.openxmlformats.org/spreadsheetml/2006/main">
  <c r="D129" i="1" l="1"/>
  <c r="B129" i="1"/>
  <c r="H43" i="1"/>
  <c r="I43" i="1"/>
  <c r="K122" i="1" l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21" i="1"/>
  <c r="G116" i="1"/>
  <c r="I121" i="1"/>
  <c r="B130" i="1"/>
  <c r="A146" i="1"/>
  <c r="A147" i="1"/>
  <c r="B142" i="1"/>
  <c r="G85" i="1" l="1"/>
  <c r="K85" i="1" s="1"/>
  <c r="G76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21" i="1"/>
  <c r="B125" i="1"/>
  <c r="I45" i="1"/>
  <c r="H45" i="1"/>
  <c r="B45" i="1"/>
  <c r="H38" i="1"/>
  <c r="H37" i="1"/>
  <c r="K34" i="1"/>
  <c r="H41" i="1"/>
  <c r="H40" i="1"/>
  <c r="H39" i="1"/>
  <c r="G47" i="1"/>
  <c r="G39" i="1"/>
  <c r="G22" i="1"/>
  <c r="G21" i="1"/>
  <c r="G17" i="1"/>
  <c r="K14" i="1"/>
  <c r="M117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5" i="1"/>
  <c r="B41" i="1"/>
  <c r="B26" i="1"/>
  <c r="B87" i="1"/>
  <c r="B71" i="1"/>
  <c r="B70" i="1"/>
  <c r="B69" i="1"/>
  <c r="B68" i="1"/>
  <c r="B52" i="1"/>
  <c r="B24" i="1"/>
  <c r="B90" i="1"/>
  <c r="B60" i="1"/>
  <c r="B33" i="1"/>
  <c r="K112" i="1" l="1"/>
  <c r="I125" i="1" l="1"/>
  <c r="I122" i="1"/>
  <c r="I123" i="1"/>
  <c r="I124" i="1"/>
  <c r="I128" i="1"/>
  <c r="I132" i="1"/>
  <c r="I136" i="1"/>
  <c r="I140" i="1"/>
  <c r="I144" i="1"/>
  <c r="I148" i="1"/>
  <c r="I152" i="1"/>
  <c r="I129" i="1"/>
  <c r="I133" i="1"/>
  <c r="I137" i="1"/>
  <c r="I141" i="1"/>
  <c r="I145" i="1"/>
  <c r="I149" i="1"/>
  <c r="I126" i="1"/>
  <c r="I130" i="1"/>
  <c r="I134" i="1"/>
  <c r="I138" i="1"/>
  <c r="I142" i="1"/>
  <c r="I146" i="1"/>
  <c r="I150" i="1"/>
  <c r="M118" i="1"/>
  <c r="I127" i="1"/>
  <c r="I131" i="1"/>
  <c r="I135" i="1"/>
  <c r="I139" i="1"/>
  <c r="I143" i="1"/>
  <c r="I147" i="1"/>
  <c r="I151" i="1"/>
  <c r="M119" i="1" l="1"/>
</calcChain>
</file>

<file path=xl/sharedStrings.xml><?xml version="1.0" encoding="utf-8"?>
<sst xmlns="http://schemas.openxmlformats.org/spreadsheetml/2006/main" count="255" uniqueCount="207">
  <si>
    <t>vnitřní výpočtová teplota</t>
  </si>
  <si>
    <t>obývaný prostor</t>
  </si>
  <si>
    <t>°C</t>
  </si>
  <si>
    <t>Svislá stěna jih</t>
  </si>
  <si>
    <t>plochy jednotlivých segmentů</t>
  </si>
  <si>
    <t>dveře</t>
  </si>
  <si>
    <t>m2</t>
  </si>
  <si>
    <t>zeď okamenovaná</t>
  </si>
  <si>
    <t>zeď svislá pobitá</t>
  </si>
  <si>
    <t>okna v1</t>
  </si>
  <si>
    <t>dřevěná zeď předsíň</t>
  </si>
  <si>
    <t>západ</t>
  </si>
  <si>
    <t>svislá stěna centrál nepobitá</t>
  </si>
  <si>
    <t>svislá stěna centrál pobitá</t>
  </si>
  <si>
    <t>svislá stěna přístavek průchod</t>
  </si>
  <si>
    <t>vrata garáž</t>
  </si>
  <si>
    <t>dveře lyžárna</t>
  </si>
  <si>
    <t>okno</t>
  </si>
  <si>
    <t>zeď do garáže, lyžárny</t>
  </si>
  <si>
    <t>Sever</t>
  </si>
  <si>
    <t>svislá zeď nepobitá</t>
  </si>
  <si>
    <t>svislá zeď pobitá</t>
  </si>
  <si>
    <t>svislá zeď kuch přístavek</t>
  </si>
  <si>
    <t>východ</t>
  </si>
  <si>
    <t>okno úzké</t>
  </si>
  <si>
    <t>okno běžné</t>
  </si>
  <si>
    <t>8x</t>
  </si>
  <si>
    <t>okno široké</t>
  </si>
  <si>
    <t>okno malé</t>
  </si>
  <si>
    <t>svislá stěna pobitá</t>
  </si>
  <si>
    <t>svislá stěna kuch přístavek</t>
  </si>
  <si>
    <t>svislá stěna kuch přístavek kam oblož</t>
  </si>
  <si>
    <t>okna předsíň</t>
  </si>
  <si>
    <t>2x</t>
  </si>
  <si>
    <t>okno úzké dvojkřídlé</t>
  </si>
  <si>
    <t>přístvba nová horní část pobitá</t>
  </si>
  <si>
    <t>přístavba horní část pobitá</t>
  </si>
  <si>
    <t>okna veranda</t>
  </si>
  <si>
    <t>okno veranda úzké</t>
  </si>
  <si>
    <t>výklenek na jih</t>
  </si>
  <si>
    <t>střecha na jih</t>
  </si>
  <si>
    <t>střecha veranda</t>
  </si>
  <si>
    <t>střecha výklenek na jih</t>
  </si>
  <si>
    <t>střecha pravá část</t>
  </si>
  <si>
    <t>půdorys</t>
  </si>
  <si>
    <t>podlaha nová přístavba</t>
  </si>
  <si>
    <t>podlaha kuch přístavba</t>
  </si>
  <si>
    <t>samotá stavba</t>
  </si>
  <si>
    <t>kuch přístavba</t>
  </si>
  <si>
    <t>dveře do kuch</t>
  </si>
  <si>
    <t>heraklit 2.5 cm</t>
  </si>
  <si>
    <t>cement potěr 3 cm, polysturén 2.5 cm</t>
  </si>
  <si>
    <t>svislá stěna  nepobitá</t>
  </si>
  <si>
    <t>svislá stěna z cihel 30</t>
  </si>
  <si>
    <t>minerální vlna 5cm, prkna 19 mm, podhled modřín 19mm</t>
  </si>
  <si>
    <t>2 cm cementový potěr, 6cm bet. Mazanina, lepenka A400ISM, izoplat 2cm</t>
  </si>
  <si>
    <t>plynosilikát mvc 25, 40 cm?</t>
  </si>
  <si>
    <t>střecha lyžárny</t>
  </si>
  <si>
    <t>5cm minerální vlny</t>
  </si>
  <si>
    <t>svislá stěna veranda kámen</t>
  </si>
  <si>
    <t>svislá stěna veranda pobitá</t>
  </si>
  <si>
    <t>okno dvoukřídlové</t>
  </si>
  <si>
    <t>okno dvoukřídové širší var</t>
  </si>
  <si>
    <t>1x</t>
  </si>
  <si>
    <t>okno dvoukřídlové úzká var</t>
  </si>
  <si>
    <t>přístavba nová horní část káme</t>
  </si>
  <si>
    <t>lyžárna</t>
  </si>
  <si>
    <t>izoplast 2 cm</t>
  </si>
  <si>
    <t>přizdívka ze zdiva p100</t>
  </si>
  <si>
    <t xml:space="preserve">sklep </t>
  </si>
  <si>
    <t>stěna 30 cm</t>
  </si>
  <si>
    <t>tloušťka zdi 30 cm, pravděpodobně škvárobetonové tvárnice, 5 cm heraklitu</t>
  </si>
  <si>
    <t>0,83 W/m2K</t>
  </si>
  <si>
    <t>U [W/m2*K]</t>
  </si>
  <si>
    <t>W na kelvin</t>
  </si>
  <si>
    <t>svislá zeď nepobitá přístavba</t>
  </si>
  <si>
    <t>svislá zeď pobitá přístavba</t>
  </si>
  <si>
    <t>přístavba nad garážemi horní část</t>
  </si>
  <si>
    <t>svislá zeď obložení kamenem</t>
  </si>
  <si>
    <t>svislá zeď obložení kamenem kuch přístavek</t>
  </si>
  <si>
    <t>střecha levá část horní</t>
  </si>
  <si>
    <t>střecha levá část dolní přístavba</t>
  </si>
  <si>
    <t>střecha nad průchodem do nových částí</t>
  </si>
  <si>
    <t>střecha přístavby nad garážemi</t>
  </si>
  <si>
    <t>střecha kuchyňský přístavek</t>
  </si>
  <si>
    <t>svislá stěna nad okny verandy</t>
  </si>
  <si>
    <t>střecha výkleneku na jih</t>
  </si>
  <si>
    <t>výklenku na jih</t>
  </si>
  <si>
    <t>svislá stěna spojovací průchod</t>
  </si>
  <si>
    <t>součet pro neobytný prostor</t>
  </si>
  <si>
    <t>součet</t>
  </si>
  <si>
    <t>Původní stěna spojovacího průchodu</t>
  </si>
  <si>
    <t>manipulační prostor (Garáž, lyžárna)</t>
  </si>
  <si>
    <t>Výp. Teplota 10 °C, teplotní rozdíl 31 K</t>
  </si>
  <si>
    <t>Výp. Teplota 20 °C, tepelný rozdíl 10 K</t>
  </si>
  <si>
    <t>výpočtová teplota venkovní</t>
  </si>
  <si>
    <t>výpočtová teplota vnitřní</t>
  </si>
  <si>
    <t>rozdíl teplot</t>
  </si>
  <si>
    <t>započítání ztráty přes dvojtou stěnu v lyžárně a garáži</t>
  </si>
  <si>
    <t>kW</t>
  </si>
  <si>
    <t>Tepelná ztráta větráním</t>
  </si>
  <si>
    <t>hustota vzduchu</t>
  </si>
  <si>
    <r>
      <t>[kg/m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]</t>
    </r>
  </si>
  <si>
    <t>měrná tepelná kapacita vzduchu</t>
  </si>
  <si>
    <t>tep. Rozdíl</t>
  </si>
  <si>
    <t>K</t>
  </si>
  <si>
    <t>minimální objemový přísun vzduchu</t>
  </si>
  <si>
    <t>osob maximálně</t>
  </si>
  <si>
    <t>W</t>
  </si>
  <si>
    <t>Přirážka na vliv tepelných vazeb</t>
  </si>
  <si>
    <r>
      <t>Δ</t>
    </r>
    <r>
      <rPr>
        <sz val="11"/>
        <color theme="1"/>
        <rFont val="Calibri"/>
        <family val="2"/>
      </rPr>
      <t>U [W/}m2*K]</t>
    </r>
  </si>
  <si>
    <t>Kritérium výběru</t>
  </si>
  <si>
    <t>Nové budovy s vysokou úrovní tepelné izolace a ověřenou důsledně optimalizovanou úrovní tepelných vazeb, která převyšuje obecně uznávanou praxi</t>
  </si>
  <si>
    <t>Nové budovy s optimalizovanými tepelnými vazbami v sou ladu s obecně uznávanou praxí</t>
  </si>
  <si>
    <t>Budovy s převážně vnitřní tepelnou izolací narušenou pronikajícími pevnými stropními konstrukcemi</t>
  </si>
  <si>
    <t>Všechny ostatní budovy</t>
  </si>
  <si>
    <t>kuchyně + umývárna nádobí</t>
  </si>
  <si>
    <t>plocha</t>
  </si>
  <si>
    <t xml:space="preserve">výška stropu </t>
  </si>
  <si>
    <t>objem</t>
  </si>
  <si>
    <t>m3</t>
  </si>
  <si>
    <t>intenzita větrání</t>
  </si>
  <si>
    <t>h-1</t>
  </si>
  <si>
    <t>m3/osobu hodinu</t>
  </si>
  <si>
    <t>[Wh/(kg.K)]</t>
  </si>
  <si>
    <t>w</t>
  </si>
  <si>
    <t>hosté</t>
  </si>
  <si>
    <t>Počet skel</t>
  </si>
  <si>
    <r>
      <t xml:space="preserve">Propustnost </t>
    </r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1</t>
    </r>
  </si>
  <si>
    <t>0,90</t>
  </si>
  <si>
    <t>0,81</t>
  </si>
  <si>
    <t>0,73</t>
  </si>
  <si>
    <t>Měsíc</t>
  </si>
  <si>
    <t>H</t>
  </si>
  <si>
    <t>S</t>
  </si>
  <si>
    <t>SV, SZ</t>
  </si>
  <si>
    <t>V, Z</t>
  </si>
  <si>
    <t>JV, JZ</t>
  </si>
  <si>
    <t>J</t>
  </si>
  <si>
    <t>X</t>
  </si>
  <si>
    <t>52,74</t>
  </si>
  <si>
    <t>10,36</t>
  </si>
  <si>
    <t>14,06</t>
  </si>
  <si>
    <t>32,23</t>
  </si>
  <si>
    <t>57,61</t>
  </si>
  <si>
    <t>71,57</t>
  </si>
  <si>
    <t>XI</t>
  </si>
  <si>
    <t>25,53</t>
  </si>
  <si>
    <t>5,52</t>
  </si>
  <si>
    <t>6,98</t>
  </si>
  <si>
    <t>15,87</t>
  </si>
  <si>
    <t>31,99</t>
  </si>
  <si>
    <t>41,07</t>
  </si>
  <si>
    <t>XII</t>
  </si>
  <si>
    <t>18,62</t>
  </si>
  <si>
    <t>4,03</t>
  </si>
  <si>
    <t>5,09</t>
  </si>
  <si>
    <t>11,18</t>
  </si>
  <si>
    <t>23,86</t>
  </si>
  <si>
    <t>30,95</t>
  </si>
  <si>
    <t>I</t>
  </si>
  <si>
    <t>23,06</t>
  </si>
  <si>
    <t>5,21</t>
  </si>
  <si>
    <t>6,42</t>
  </si>
  <si>
    <t>15,01</t>
  </si>
  <si>
    <t>32,20</t>
  </si>
  <si>
    <t>41,91</t>
  </si>
  <si>
    <t>II</t>
  </si>
  <si>
    <t>36,75</t>
  </si>
  <si>
    <t>7,26</t>
  </si>
  <si>
    <t>9,55</t>
  </si>
  <si>
    <t>22,21</t>
  </si>
  <si>
    <t>42,17</t>
  </si>
  <si>
    <t>53,31</t>
  </si>
  <si>
    <t>III</t>
  </si>
  <si>
    <t>76,12</t>
  </si>
  <si>
    <t>15,60</t>
  </si>
  <si>
    <t>23,25</t>
  </si>
  <si>
    <t>48,89</t>
  </si>
  <si>
    <t>76,16</t>
  </si>
  <si>
    <t>89,73</t>
  </si>
  <si>
    <t>IV</t>
  </si>
  <si>
    <t>110,53</t>
  </si>
  <si>
    <t>24,04</t>
  </si>
  <si>
    <t>38,30</t>
  </si>
  <si>
    <t>65,84</t>
  </si>
  <si>
    <t>84,33</t>
  </si>
  <si>
    <t>88,42</t>
  </si>
  <si>
    <r>
      <t>E</t>
    </r>
    <r>
      <rPr>
        <i/>
        <vertAlign val="subscript"/>
        <sz val="11"/>
        <color theme="1"/>
        <rFont val="Calibri"/>
        <family val="2"/>
        <scheme val="minor"/>
      </rPr>
      <t>gVO</t>
    </r>
  </si>
  <si>
    <t>343,35</t>
  </si>
  <si>
    <t>77,02</t>
  </si>
  <si>
    <t>103,65</t>
  </si>
  <si>
    <t>211,23</t>
  </si>
  <si>
    <t>348,32</t>
  </si>
  <si>
    <t>416,99</t>
  </si>
  <si>
    <t>globální sluneční záření za měsí a topné období v závislosti na orientaci oken [kWh*m−2*t−1]</t>
  </si>
  <si>
    <t>0,95</t>
  </si>
  <si>
    <t>0,85</t>
  </si>
  <si>
    <t>0,67</t>
  </si>
  <si>
    <t>0,98</t>
  </si>
  <si>
    <t>0,86</t>
  </si>
  <si>
    <t>0,97</t>
  </si>
  <si>
    <r>
      <t>c</t>
    </r>
    <r>
      <rPr>
        <i/>
        <vertAlign val="subscript"/>
        <sz val="11"/>
        <color theme="1"/>
        <rFont val="Calibri"/>
        <family val="2"/>
        <scheme val="minor"/>
      </rPr>
      <t>mp</t>
    </r>
  </si>
  <si>
    <t>0,91</t>
  </si>
  <si>
    <t>0,84</t>
  </si>
  <si>
    <t>0,80</t>
  </si>
  <si>
    <t>W/k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</si>
</sst>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/>
    <xf numFmtId="0" fontId="0" fillId="0" borderId="0" xfId="0" applyAlignment="1">
      <alignment vertical="center" wrapText="1"/>
    </xf>
    <xf numFmtId="43" fontId="0" fillId="0" borderId="0" xfId="1" applyFont="1"/>
    <xf numFmtId="43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Tepelná ztráta prostupem tepla obálkou konstrukce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Sklep!$G$121:$G$152</c:f>
              <c:numCache>
                <c:formatCode>General</c:formatCode>
                <c:ptCount val="32"/>
                <c:pt idx="0">
                  <c:v>-21</c:v>
                </c:pt>
                <c:pt idx="1">
                  <c:v>-20</c:v>
                </c:pt>
                <c:pt idx="2">
                  <c:v>-19</c:v>
                </c:pt>
                <c:pt idx="3">
                  <c:v>-18</c:v>
                </c:pt>
                <c:pt idx="4">
                  <c:v>-17</c:v>
                </c:pt>
                <c:pt idx="5">
                  <c:v>-16</c:v>
                </c:pt>
                <c:pt idx="6">
                  <c:v>-15</c:v>
                </c:pt>
                <c:pt idx="7">
                  <c:v>-14</c:v>
                </c:pt>
                <c:pt idx="8">
                  <c:v>-13</c:v>
                </c:pt>
                <c:pt idx="9">
                  <c:v>-12</c:v>
                </c:pt>
                <c:pt idx="10">
                  <c:v>-11</c:v>
                </c:pt>
                <c:pt idx="11">
                  <c:v>-10</c:v>
                </c:pt>
                <c:pt idx="12">
                  <c:v>-9</c:v>
                </c:pt>
                <c:pt idx="13">
                  <c:v>-8</c:v>
                </c:pt>
                <c:pt idx="14">
                  <c:v>-7</c:v>
                </c:pt>
                <c:pt idx="15">
                  <c:v>-6</c:v>
                </c:pt>
                <c:pt idx="16">
                  <c:v>-5</c:v>
                </c:pt>
                <c:pt idx="17">
                  <c:v>-4</c:v>
                </c:pt>
                <c:pt idx="18">
                  <c:v>-3</c:v>
                </c:pt>
                <c:pt idx="19">
                  <c:v>-2</c:v>
                </c:pt>
                <c:pt idx="20">
                  <c:v>-1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7</c:v>
                </c:pt>
                <c:pt idx="29">
                  <c:v>8</c:v>
                </c:pt>
                <c:pt idx="30">
                  <c:v>9</c:v>
                </c:pt>
                <c:pt idx="31">
                  <c:v>10</c:v>
                </c:pt>
              </c:numCache>
            </c:numRef>
          </c:xVal>
          <c:yVal>
            <c:numRef>
              <c:f>Sklep!$I$121:$I$152</c:f>
              <c:numCache>
                <c:formatCode>General</c:formatCode>
                <c:ptCount val="32"/>
                <c:pt idx="0">
                  <c:v>70348.600319999983</c:v>
                </c:pt>
                <c:pt idx="1">
                  <c:v>68632.780799999979</c:v>
                </c:pt>
                <c:pt idx="2">
                  <c:v>66916.961279999989</c:v>
                </c:pt>
                <c:pt idx="3">
                  <c:v>65201.141759999984</c:v>
                </c:pt>
                <c:pt idx="4">
                  <c:v>63485.322239999987</c:v>
                </c:pt>
                <c:pt idx="5">
                  <c:v>61769.502719999982</c:v>
                </c:pt>
                <c:pt idx="6">
                  <c:v>60053.683199999985</c:v>
                </c:pt>
                <c:pt idx="7">
                  <c:v>58337.863679999988</c:v>
                </c:pt>
                <c:pt idx="8">
                  <c:v>56622.044159999983</c:v>
                </c:pt>
                <c:pt idx="9">
                  <c:v>54906.224639999986</c:v>
                </c:pt>
                <c:pt idx="10">
                  <c:v>53190.405119999989</c:v>
                </c:pt>
                <c:pt idx="11">
                  <c:v>51474.585599999984</c:v>
                </c:pt>
                <c:pt idx="12">
                  <c:v>49758.766079999987</c:v>
                </c:pt>
                <c:pt idx="13">
                  <c:v>48042.946559999989</c:v>
                </c:pt>
                <c:pt idx="14">
                  <c:v>46327.127039999985</c:v>
                </c:pt>
                <c:pt idx="15">
                  <c:v>44611.307519999988</c:v>
                </c:pt>
                <c:pt idx="16">
                  <c:v>42895.48799999999</c:v>
                </c:pt>
                <c:pt idx="17">
                  <c:v>41179.668479999993</c:v>
                </c:pt>
                <c:pt idx="18">
                  <c:v>39463.848959999988</c:v>
                </c:pt>
                <c:pt idx="19">
                  <c:v>37748.029439999991</c:v>
                </c:pt>
                <c:pt idx="20">
                  <c:v>36032.209919999994</c:v>
                </c:pt>
                <c:pt idx="21">
                  <c:v>34316.390399999989</c:v>
                </c:pt>
                <c:pt idx="22">
                  <c:v>32600.570879999992</c:v>
                </c:pt>
                <c:pt idx="23">
                  <c:v>30884.751359999991</c:v>
                </c:pt>
                <c:pt idx="24">
                  <c:v>29168.931839999994</c:v>
                </c:pt>
                <c:pt idx="25">
                  <c:v>27453.112319999993</c:v>
                </c:pt>
                <c:pt idx="26">
                  <c:v>25737.292799999992</c:v>
                </c:pt>
                <c:pt idx="27">
                  <c:v>24021.473279999995</c:v>
                </c:pt>
                <c:pt idx="28">
                  <c:v>22305.653759999994</c:v>
                </c:pt>
                <c:pt idx="29">
                  <c:v>20589.834239999996</c:v>
                </c:pt>
                <c:pt idx="30">
                  <c:v>18874.014719999996</c:v>
                </c:pt>
                <c:pt idx="31">
                  <c:v>17158.195199999995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340016"/>
        <c:axId val="537340576"/>
      </c:scatterChart>
      <c:valAx>
        <c:axId val="537340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Venkovn</a:t>
                </a:r>
                <a:r>
                  <a:rPr lang="cs-CZ"/>
                  <a:t>í</a:t>
                </a:r>
                <a:r>
                  <a:rPr lang="en-US"/>
                  <a:t> teplota</a:t>
                </a:r>
                <a:r>
                  <a:rPr lang="en-US" baseline="0"/>
                  <a:t> [</a:t>
                </a:r>
                <a:r>
                  <a:rPr lang="cs-CZ" baseline="0"/>
                  <a:t>°C</a:t>
                </a:r>
                <a:r>
                  <a:rPr lang="en-US" baseline="0"/>
                  <a:t>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7340576"/>
        <c:crosses val="autoZero"/>
        <c:crossBetween val="midCat"/>
      </c:valAx>
      <c:valAx>
        <c:axId val="53734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Tepelná ztráta </a:t>
                </a:r>
                <a:r>
                  <a:rPr lang="en-US"/>
                  <a:t>[kW]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7340016"/>
        <c:crosses val="autoZero"/>
        <c:crossBetween val="midCat"/>
        <c:dispUnits>
          <c:builtInUnit val="thousand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Sklep!$G$121:$G$152</c:f>
              <c:numCache>
                <c:formatCode>General</c:formatCode>
                <c:ptCount val="32"/>
                <c:pt idx="0">
                  <c:v>-21</c:v>
                </c:pt>
                <c:pt idx="1">
                  <c:v>-20</c:v>
                </c:pt>
                <c:pt idx="2">
                  <c:v>-19</c:v>
                </c:pt>
                <c:pt idx="3">
                  <c:v>-18</c:v>
                </c:pt>
                <c:pt idx="4">
                  <c:v>-17</c:v>
                </c:pt>
                <c:pt idx="5">
                  <c:v>-16</c:v>
                </c:pt>
                <c:pt idx="6">
                  <c:v>-15</c:v>
                </c:pt>
                <c:pt idx="7">
                  <c:v>-14</c:v>
                </c:pt>
                <c:pt idx="8">
                  <c:v>-13</c:v>
                </c:pt>
                <c:pt idx="9">
                  <c:v>-12</c:v>
                </c:pt>
                <c:pt idx="10">
                  <c:v>-11</c:v>
                </c:pt>
                <c:pt idx="11">
                  <c:v>-10</c:v>
                </c:pt>
                <c:pt idx="12">
                  <c:v>-9</c:v>
                </c:pt>
                <c:pt idx="13">
                  <c:v>-8</c:v>
                </c:pt>
                <c:pt idx="14">
                  <c:v>-7</c:v>
                </c:pt>
                <c:pt idx="15">
                  <c:v>-6</c:v>
                </c:pt>
                <c:pt idx="16">
                  <c:v>-5</c:v>
                </c:pt>
                <c:pt idx="17">
                  <c:v>-4</c:v>
                </c:pt>
                <c:pt idx="18">
                  <c:v>-3</c:v>
                </c:pt>
                <c:pt idx="19">
                  <c:v>-2</c:v>
                </c:pt>
                <c:pt idx="20">
                  <c:v>-1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7</c:v>
                </c:pt>
                <c:pt idx="29">
                  <c:v>8</c:v>
                </c:pt>
                <c:pt idx="30">
                  <c:v>9</c:v>
                </c:pt>
                <c:pt idx="31">
                  <c:v>10</c:v>
                </c:pt>
              </c:numCache>
            </c:numRef>
          </c:xVal>
          <c:yVal>
            <c:numRef>
              <c:f>Sklep!$K$121:$K$152</c:f>
              <c:numCache>
                <c:formatCode>General</c:formatCode>
                <c:ptCount val="32"/>
                <c:pt idx="0">
                  <c:v>86284.85861879999</c:v>
                </c:pt>
                <c:pt idx="1">
                  <c:v>84180.349871999992</c:v>
                </c:pt>
                <c:pt idx="2">
                  <c:v>82075.841125199993</c:v>
                </c:pt>
                <c:pt idx="3">
                  <c:v>79971.332378399995</c:v>
                </c:pt>
                <c:pt idx="4">
                  <c:v>77866.823631599982</c:v>
                </c:pt>
                <c:pt idx="5">
                  <c:v>75762.314884799984</c:v>
                </c:pt>
                <c:pt idx="6">
                  <c:v>73657.806137999985</c:v>
                </c:pt>
                <c:pt idx="7">
                  <c:v>71553.297391199987</c:v>
                </c:pt>
                <c:pt idx="8">
                  <c:v>69448.788644399989</c:v>
                </c:pt>
                <c:pt idx="9">
                  <c:v>67344.27989759999</c:v>
                </c:pt>
                <c:pt idx="10">
                  <c:v>65239.771150799992</c:v>
                </c:pt>
                <c:pt idx="11">
                  <c:v>63135.262403999994</c:v>
                </c:pt>
                <c:pt idx="12">
                  <c:v>61030.753657199988</c:v>
                </c:pt>
                <c:pt idx="13">
                  <c:v>58926.24491039999</c:v>
                </c:pt>
                <c:pt idx="14">
                  <c:v>56821.736163599991</c:v>
                </c:pt>
                <c:pt idx="15">
                  <c:v>54717.227416799993</c:v>
                </c:pt>
                <c:pt idx="16">
                  <c:v>52612.718669999995</c:v>
                </c:pt>
                <c:pt idx="17">
                  <c:v>50508.209923199989</c:v>
                </c:pt>
                <c:pt idx="18">
                  <c:v>48403.701176399991</c:v>
                </c:pt>
                <c:pt idx="19">
                  <c:v>46299.192429599992</c:v>
                </c:pt>
                <c:pt idx="20">
                  <c:v>44194.683682799994</c:v>
                </c:pt>
                <c:pt idx="21">
                  <c:v>42090.174935999996</c:v>
                </c:pt>
                <c:pt idx="22">
                  <c:v>39985.666189199997</c:v>
                </c:pt>
                <c:pt idx="23">
                  <c:v>37881.157442399992</c:v>
                </c:pt>
                <c:pt idx="24">
                  <c:v>35776.648695599994</c:v>
                </c:pt>
                <c:pt idx="25">
                  <c:v>33672.139948799995</c:v>
                </c:pt>
                <c:pt idx="26">
                  <c:v>31567.631201999997</c:v>
                </c:pt>
                <c:pt idx="27">
                  <c:v>29463.122455199995</c:v>
                </c:pt>
                <c:pt idx="28">
                  <c:v>27358.613708399997</c:v>
                </c:pt>
                <c:pt idx="29">
                  <c:v>25254.104961599995</c:v>
                </c:pt>
                <c:pt idx="30">
                  <c:v>23149.596214799996</c:v>
                </c:pt>
                <c:pt idx="31">
                  <c:v>21045.087467999998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0986256"/>
        <c:axId val="530986816"/>
      </c:scatterChart>
      <c:valAx>
        <c:axId val="530986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0986816"/>
        <c:crosses val="autoZero"/>
        <c:crossBetween val="midCat"/>
      </c:valAx>
      <c:valAx>
        <c:axId val="53098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30986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19049</xdr:colOff>
      <xdr:row>106</xdr:row>
      <xdr:rowOff>14286</xdr:rowOff>
    </xdr:from>
    <xdr:to>
      <xdr:col>24</xdr:col>
      <xdr:colOff>123824</xdr:colOff>
      <xdr:row>123</xdr:row>
      <xdr:rowOff>28574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361950</xdr:colOff>
      <xdr:row>132</xdr:row>
      <xdr:rowOff>190499</xdr:rowOff>
    </xdr:from>
    <xdr:to>
      <xdr:col>22</xdr:col>
      <xdr:colOff>57150</xdr:colOff>
      <xdr:row>149</xdr:row>
      <xdr:rowOff>161924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2"/>
  <sheetViews>
    <sheetView tabSelected="1" workbookViewId="0">
      <selection activeCell="O127" sqref="O127"/>
    </sheetView>
  </sheetViews>
  <sheetFormatPr defaultRowHeight="15" x14ac:dyDescent="0.25"/>
  <cols>
    <col min="1" max="1" width="33.28515625" customWidth="1"/>
    <col min="2" max="2" width="12.85546875" bestFit="1" customWidth="1"/>
    <col min="4" max="4" width="10.42578125" bestFit="1" customWidth="1"/>
    <col min="7" max="7" width="10.42578125" bestFit="1" customWidth="1"/>
    <col min="11" max="11" width="11.85546875" bestFit="1" customWidth="1"/>
  </cols>
  <sheetData>
    <row r="2" spans="1:11" x14ac:dyDescent="0.25">
      <c r="A2" t="s">
        <v>0</v>
      </c>
    </row>
    <row r="3" spans="1:11" x14ac:dyDescent="0.25">
      <c r="A3" t="s">
        <v>1</v>
      </c>
      <c r="B3">
        <v>21</v>
      </c>
      <c r="C3" t="s">
        <v>2</v>
      </c>
    </row>
    <row r="4" spans="1:11" x14ac:dyDescent="0.25">
      <c r="A4" t="s">
        <v>92</v>
      </c>
      <c r="B4">
        <v>10</v>
      </c>
      <c r="C4" t="s">
        <v>2</v>
      </c>
    </row>
    <row r="10" spans="1:11" x14ac:dyDescent="0.25">
      <c r="A10" t="s">
        <v>3</v>
      </c>
    </row>
    <row r="12" spans="1:11" x14ac:dyDescent="0.25">
      <c r="A12" t="s">
        <v>4</v>
      </c>
    </row>
    <row r="13" spans="1:11" x14ac:dyDescent="0.25">
      <c r="G13" t="s">
        <v>73</v>
      </c>
    </row>
    <row r="14" spans="1:11" x14ac:dyDescent="0.25">
      <c r="A14" t="s">
        <v>5</v>
      </c>
      <c r="B14">
        <v>2.5</v>
      </c>
      <c r="C14" t="s">
        <v>6</v>
      </c>
      <c r="G14">
        <v>3.5</v>
      </c>
      <c r="K14">
        <f t="shared" ref="K14:K34" si="0">G14*B14</f>
        <v>8.75</v>
      </c>
    </row>
    <row r="15" spans="1:11" x14ac:dyDescent="0.25">
      <c r="A15" t="s">
        <v>7</v>
      </c>
      <c r="B15">
        <v>16.399999999999999</v>
      </c>
      <c r="C15" t="s">
        <v>6</v>
      </c>
      <c r="D15" t="s">
        <v>50</v>
      </c>
      <c r="G15">
        <v>2</v>
      </c>
      <c r="K15">
        <f t="shared" si="0"/>
        <v>32.799999999999997</v>
      </c>
    </row>
    <row r="16" spans="1:11" x14ac:dyDescent="0.25">
      <c r="A16" t="s">
        <v>8</v>
      </c>
      <c r="B16">
        <v>48.01</v>
      </c>
      <c r="C16" t="s">
        <v>6</v>
      </c>
      <c r="G16">
        <v>2</v>
      </c>
      <c r="K16">
        <f t="shared" si="0"/>
        <v>96.02</v>
      </c>
    </row>
    <row r="17" spans="1:11" x14ac:dyDescent="0.25">
      <c r="A17" s="2" t="s">
        <v>9</v>
      </c>
      <c r="B17">
        <v>1.1299999999999999</v>
      </c>
      <c r="D17" t="s">
        <v>26</v>
      </c>
      <c r="E17" t="s">
        <v>72</v>
      </c>
      <c r="G17">
        <f>0.83*8</f>
        <v>6.64</v>
      </c>
      <c r="K17">
        <f t="shared" si="0"/>
        <v>7.5031999999999988</v>
      </c>
    </row>
    <row r="18" spans="1:11" x14ac:dyDescent="0.25">
      <c r="A18" t="s">
        <v>10</v>
      </c>
      <c r="B18">
        <v>4.7300000000000004</v>
      </c>
      <c r="G18">
        <v>2</v>
      </c>
      <c r="K18">
        <f t="shared" si="0"/>
        <v>9.4600000000000009</v>
      </c>
    </row>
    <row r="19" spans="1:11" x14ac:dyDescent="0.25">
      <c r="A19" t="s">
        <v>41</v>
      </c>
      <c r="B19">
        <v>49.8</v>
      </c>
      <c r="G19">
        <v>0.8</v>
      </c>
      <c r="K19">
        <f t="shared" si="0"/>
        <v>39.840000000000003</v>
      </c>
    </row>
    <row r="20" spans="1:11" x14ac:dyDescent="0.25">
      <c r="A20" t="s">
        <v>36</v>
      </c>
      <c r="B20">
        <v>35.031599999999997</v>
      </c>
      <c r="G20">
        <v>1</v>
      </c>
      <c r="K20">
        <f t="shared" si="0"/>
        <v>35.031599999999997</v>
      </c>
    </row>
    <row r="21" spans="1:11" x14ac:dyDescent="0.25">
      <c r="A21" s="2" t="s">
        <v>37</v>
      </c>
      <c r="B21">
        <v>2.3292999999999999</v>
      </c>
      <c r="D21" t="s">
        <v>26</v>
      </c>
      <c r="G21">
        <f>8*1</f>
        <v>8</v>
      </c>
      <c r="K21">
        <f t="shared" si="0"/>
        <v>18.634399999999999</v>
      </c>
    </row>
    <row r="22" spans="1:11" x14ac:dyDescent="0.25">
      <c r="A22" s="2" t="s">
        <v>38</v>
      </c>
      <c r="B22">
        <v>1.05</v>
      </c>
      <c r="D22" t="s">
        <v>33</v>
      </c>
      <c r="G22">
        <f>2*1</f>
        <v>2</v>
      </c>
      <c r="K22">
        <f t="shared" si="0"/>
        <v>2.1</v>
      </c>
    </row>
    <row r="23" spans="1:11" x14ac:dyDescent="0.25">
      <c r="K23">
        <f t="shared" si="0"/>
        <v>0</v>
      </c>
    </row>
    <row r="24" spans="1:11" x14ac:dyDescent="0.25">
      <c r="A24" t="s">
        <v>40</v>
      </c>
      <c r="B24">
        <f>6.44*6.04+6*6.44+8.16</f>
        <v>85.697599999999994</v>
      </c>
      <c r="G24">
        <v>1.4</v>
      </c>
      <c r="K24">
        <f t="shared" si="0"/>
        <v>119.97663999999999</v>
      </c>
    </row>
    <row r="25" spans="1:11" x14ac:dyDescent="0.25">
      <c r="A25" t="s">
        <v>41</v>
      </c>
      <c r="B25">
        <v>51.861000000000004</v>
      </c>
      <c r="G25">
        <v>1.4</v>
      </c>
      <c r="K25">
        <f t="shared" si="0"/>
        <v>72.605400000000003</v>
      </c>
    </row>
    <row r="26" spans="1:11" x14ac:dyDescent="0.25">
      <c r="A26" t="s">
        <v>48</v>
      </c>
      <c r="B26">
        <f>5.41-2</f>
        <v>3.41</v>
      </c>
      <c r="G26">
        <v>1</v>
      </c>
      <c r="K26">
        <f t="shared" si="0"/>
        <v>3.41</v>
      </c>
    </row>
    <row r="27" spans="1:11" x14ac:dyDescent="0.25">
      <c r="A27" t="s">
        <v>49</v>
      </c>
      <c r="B27">
        <v>2</v>
      </c>
      <c r="G27">
        <v>3.5</v>
      </c>
      <c r="K27">
        <f t="shared" si="0"/>
        <v>7</v>
      </c>
    </row>
    <row r="28" spans="1:11" x14ac:dyDescent="0.25">
      <c r="K28">
        <f t="shared" si="0"/>
        <v>0</v>
      </c>
    </row>
    <row r="29" spans="1:11" x14ac:dyDescent="0.25">
      <c r="A29" t="s">
        <v>11</v>
      </c>
      <c r="K29">
        <f t="shared" si="0"/>
        <v>0</v>
      </c>
    </row>
    <row r="30" spans="1:11" x14ac:dyDescent="0.25">
      <c r="A30" t="s">
        <v>12</v>
      </c>
      <c r="B30">
        <v>21.3992</v>
      </c>
      <c r="D30" t="s">
        <v>50</v>
      </c>
      <c r="G30">
        <v>2</v>
      </c>
      <c r="K30">
        <f t="shared" si="0"/>
        <v>42.798400000000001</v>
      </c>
    </row>
    <row r="31" spans="1:11" x14ac:dyDescent="0.25">
      <c r="A31" t="s">
        <v>13</v>
      </c>
      <c r="B31">
        <v>47.248199999999997</v>
      </c>
      <c r="G31">
        <v>2</v>
      </c>
      <c r="K31">
        <f t="shared" si="0"/>
        <v>94.496399999999994</v>
      </c>
    </row>
    <row r="32" spans="1:11" x14ac:dyDescent="0.25">
      <c r="A32" t="s">
        <v>59</v>
      </c>
      <c r="B32">
        <v>2.7262</v>
      </c>
      <c r="G32">
        <v>2</v>
      </c>
      <c r="K32">
        <f t="shared" si="0"/>
        <v>5.4523999999999999</v>
      </c>
    </row>
    <row r="33" spans="1:11" x14ac:dyDescent="0.25">
      <c r="A33" t="s">
        <v>60</v>
      </c>
      <c r="B33">
        <f>0.1417+0.1417+0.1458</f>
        <v>0.42920000000000003</v>
      </c>
      <c r="G33">
        <v>2</v>
      </c>
      <c r="K33">
        <f t="shared" si="0"/>
        <v>0.85840000000000005</v>
      </c>
    </row>
    <row r="34" spans="1:11" x14ac:dyDescent="0.25">
      <c r="A34" t="s">
        <v>14</v>
      </c>
      <c r="B34">
        <v>22.35</v>
      </c>
      <c r="G34">
        <v>1</v>
      </c>
      <c r="K34">
        <f t="shared" si="0"/>
        <v>22.35</v>
      </c>
    </row>
    <row r="36" spans="1:11" x14ac:dyDescent="0.25">
      <c r="A36" s="3" t="s">
        <v>89</v>
      </c>
      <c r="B36" s="3"/>
      <c r="C36" s="3"/>
    </row>
    <row r="37" spans="1:11" x14ac:dyDescent="0.25">
      <c r="A37" t="s">
        <v>15</v>
      </c>
      <c r="B37">
        <v>7.149</v>
      </c>
      <c r="D37" t="s">
        <v>68</v>
      </c>
      <c r="G37" s="1">
        <v>3.5</v>
      </c>
      <c r="H37">
        <f>G37*B37</f>
        <v>25.0215</v>
      </c>
    </row>
    <row r="38" spans="1:11" x14ac:dyDescent="0.25">
      <c r="A38" t="s">
        <v>16</v>
      </c>
      <c r="B38">
        <v>2.2151999999999998</v>
      </c>
      <c r="G38" s="1">
        <v>7</v>
      </c>
      <c r="H38">
        <f>G38*B38</f>
        <v>15.506399999999999</v>
      </c>
    </row>
    <row r="39" spans="1:11" x14ac:dyDescent="0.25">
      <c r="A39" s="2" t="s">
        <v>61</v>
      </c>
      <c r="B39">
        <v>1.1000000000000001</v>
      </c>
      <c r="D39" t="s">
        <v>26</v>
      </c>
      <c r="G39">
        <f>8*1</f>
        <v>8</v>
      </c>
      <c r="H39">
        <f>G39*B39</f>
        <v>8.8000000000000007</v>
      </c>
    </row>
    <row r="40" spans="1:11" x14ac:dyDescent="0.25">
      <c r="A40" t="s">
        <v>18</v>
      </c>
      <c r="B40">
        <v>14.3172</v>
      </c>
      <c r="G40">
        <v>1</v>
      </c>
      <c r="H40">
        <f>G40*B40</f>
        <v>14.3172</v>
      </c>
    </row>
    <row r="41" spans="1:11" x14ac:dyDescent="0.25">
      <c r="A41" t="s">
        <v>57</v>
      </c>
      <c r="B41">
        <f>7.95*5</f>
        <v>39.75</v>
      </c>
      <c r="D41" t="s">
        <v>58</v>
      </c>
      <c r="G41">
        <v>0.6</v>
      </c>
      <c r="H41">
        <f>G41*B41</f>
        <v>23.849999999999998</v>
      </c>
    </row>
    <row r="42" spans="1:11" x14ac:dyDescent="0.25">
      <c r="H42" t="s">
        <v>90</v>
      </c>
      <c r="I42" t="s">
        <v>93</v>
      </c>
    </row>
    <row r="43" spans="1:11" x14ac:dyDescent="0.25">
      <c r="H43">
        <f>H37+H38+H39+H40+H41</f>
        <v>87.495099999999994</v>
      </c>
      <c r="I43">
        <f>H43*31</f>
        <v>2712.3480999999997</v>
      </c>
    </row>
    <row r="44" spans="1:11" x14ac:dyDescent="0.25">
      <c r="I44" t="s">
        <v>94</v>
      </c>
    </row>
    <row r="45" spans="1:11" x14ac:dyDescent="0.25">
      <c r="A45" t="s">
        <v>91</v>
      </c>
      <c r="B45">
        <f>B40+B37-B38</f>
        <v>19.251000000000001</v>
      </c>
      <c r="G45">
        <v>1</v>
      </c>
      <c r="H45">
        <f>B45*1</f>
        <v>19.251000000000001</v>
      </c>
      <c r="I45">
        <f>H45*10</f>
        <v>192.51000000000002</v>
      </c>
    </row>
    <row r="47" spans="1:11" x14ac:dyDescent="0.25">
      <c r="A47" s="2" t="s">
        <v>64</v>
      </c>
      <c r="B47">
        <v>0.95860000000000001</v>
      </c>
      <c r="D47" t="s">
        <v>33</v>
      </c>
      <c r="G47">
        <f>2*1</f>
        <v>2</v>
      </c>
      <c r="K47">
        <f t="shared" ref="K47:K85" si="1">G47*B47</f>
        <v>1.9172</v>
      </c>
    </row>
    <row r="48" spans="1:11" x14ac:dyDescent="0.25">
      <c r="A48" s="2" t="s">
        <v>62</v>
      </c>
      <c r="B48">
        <v>1.2</v>
      </c>
      <c r="D48" t="s">
        <v>63</v>
      </c>
      <c r="G48">
        <v>1</v>
      </c>
      <c r="K48">
        <f t="shared" si="1"/>
        <v>1.2</v>
      </c>
    </row>
    <row r="49" spans="1:11" x14ac:dyDescent="0.25">
      <c r="A49" t="s">
        <v>65</v>
      </c>
      <c r="B49">
        <v>6.19</v>
      </c>
      <c r="G49">
        <v>1</v>
      </c>
      <c r="K49">
        <f t="shared" si="1"/>
        <v>6.19</v>
      </c>
    </row>
    <row r="50" spans="1:11" x14ac:dyDescent="0.25">
      <c r="A50" t="s">
        <v>35</v>
      </c>
      <c r="B50">
        <v>10.6</v>
      </c>
      <c r="G50">
        <v>1</v>
      </c>
      <c r="K50">
        <f t="shared" si="1"/>
        <v>10.6</v>
      </c>
    </row>
    <row r="51" spans="1:11" x14ac:dyDescent="0.25">
      <c r="A51" t="s">
        <v>39</v>
      </c>
      <c r="B51">
        <v>1.2</v>
      </c>
      <c r="G51">
        <v>2</v>
      </c>
      <c r="K51">
        <f t="shared" si="1"/>
        <v>2.4</v>
      </c>
    </row>
    <row r="52" spans="1:11" x14ac:dyDescent="0.25">
      <c r="A52" t="s">
        <v>42</v>
      </c>
      <c r="B52">
        <f>1.4*3.59+3.59*3.21/2</f>
        <v>10.787949999999999</v>
      </c>
      <c r="G52">
        <v>1.4</v>
      </c>
      <c r="K52">
        <f t="shared" si="1"/>
        <v>15.103129999999997</v>
      </c>
    </row>
    <row r="53" spans="1:11" x14ac:dyDescent="0.25">
      <c r="K53">
        <f t="shared" si="1"/>
        <v>0</v>
      </c>
    </row>
    <row r="54" spans="1:11" x14ac:dyDescent="0.25">
      <c r="K54">
        <f t="shared" si="1"/>
        <v>0</v>
      </c>
    </row>
    <row r="55" spans="1:11" x14ac:dyDescent="0.25">
      <c r="K55">
        <f t="shared" si="1"/>
        <v>0</v>
      </c>
    </row>
    <row r="56" spans="1:11" x14ac:dyDescent="0.25">
      <c r="K56">
        <f t="shared" si="1"/>
        <v>0</v>
      </c>
    </row>
    <row r="57" spans="1:11" x14ac:dyDescent="0.25">
      <c r="A57" t="s">
        <v>19</v>
      </c>
      <c r="K57">
        <f t="shared" si="1"/>
        <v>0</v>
      </c>
    </row>
    <row r="58" spans="1:11" x14ac:dyDescent="0.25">
      <c r="A58" t="s">
        <v>75</v>
      </c>
      <c r="B58">
        <v>10.76</v>
      </c>
      <c r="D58" t="s">
        <v>50</v>
      </c>
      <c r="G58">
        <v>1</v>
      </c>
      <c r="K58">
        <f t="shared" si="1"/>
        <v>10.76</v>
      </c>
    </row>
    <row r="59" spans="1:11" x14ac:dyDescent="0.25">
      <c r="A59" t="s">
        <v>76</v>
      </c>
      <c r="B59">
        <v>20.0047</v>
      </c>
      <c r="G59">
        <v>1</v>
      </c>
      <c r="K59">
        <f t="shared" si="1"/>
        <v>20.0047</v>
      </c>
    </row>
    <row r="60" spans="1:11" x14ac:dyDescent="0.25">
      <c r="A60" t="s">
        <v>21</v>
      </c>
      <c r="B60">
        <f>18.2-1.03</f>
        <v>17.169999999999998</v>
      </c>
      <c r="G60">
        <v>2</v>
      </c>
      <c r="K60">
        <f t="shared" si="1"/>
        <v>34.339999999999996</v>
      </c>
    </row>
    <row r="61" spans="1:11" x14ac:dyDescent="0.25">
      <c r="A61" s="2" t="s">
        <v>17</v>
      </c>
      <c r="B61">
        <v>1.03</v>
      </c>
      <c r="G61">
        <v>1</v>
      </c>
      <c r="K61">
        <f t="shared" si="1"/>
        <v>1.03</v>
      </c>
    </row>
    <row r="62" spans="1:11" x14ac:dyDescent="0.25">
      <c r="A62" t="s">
        <v>20</v>
      </c>
      <c r="B62">
        <v>2.3877000000000002</v>
      </c>
      <c r="G62">
        <v>2</v>
      </c>
      <c r="K62">
        <f t="shared" si="1"/>
        <v>4.7754000000000003</v>
      </c>
    </row>
    <row r="63" spans="1:11" x14ac:dyDescent="0.25">
      <c r="A63" t="s">
        <v>78</v>
      </c>
      <c r="B63">
        <v>8.1980000000000004</v>
      </c>
      <c r="G63">
        <v>1</v>
      </c>
      <c r="K63">
        <f t="shared" si="1"/>
        <v>8.1980000000000004</v>
      </c>
    </row>
    <row r="64" spans="1:11" x14ac:dyDescent="0.25">
      <c r="A64" t="s">
        <v>22</v>
      </c>
      <c r="B64">
        <v>3.4</v>
      </c>
      <c r="D64" t="s">
        <v>50</v>
      </c>
      <c r="G64">
        <v>1</v>
      </c>
      <c r="K64">
        <f t="shared" si="1"/>
        <v>3.4</v>
      </c>
    </row>
    <row r="65" spans="1:11" x14ac:dyDescent="0.25">
      <c r="A65" t="s">
        <v>79</v>
      </c>
      <c r="B65">
        <v>1.92</v>
      </c>
      <c r="G65">
        <v>1</v>
      </c>
      <c r="K65">
        <f t="shared" si="1"/>
        <v>1.92</v>
      </c>
    </row>
    <row r="66" spans="1:11" x14ac:dyDescent="0.25">
      <c r="K66">
        <f t="shared" si="1"/>
        <v>0</v>
      </c>
    </row>
    <row r="67" spans="1:11" x14ac:dyDescent="0.25">
      <c r="A67" t="s">
        <v>77</v>
      </c>
      <c r="B67">
        <v>35.299999999999997</v>
      </c>
      <c r="D67" t="s">
        <v>56</v>
      </c>
      <c r="G67">
        <v>1</v>
      </c>
      <c r="K67">
        <f t="shared" si="1"/>
        <v>35.299999999999997</v>
      </c>
    </row>
    <row r="68" spans="1:11" x14ac:dyDescent="0.25">
      <c r="A68" t="s">
        <v>43</v>
      </c>
      <c r="B68">
        <f>6.4*4.72</f>
        <v>30.207999999999998</v>
      </c>
      <c r="G68">
        <v>1.4</v>
      </c>
      <c r="K68">
        <f t="shared" si="1"/>
        <v>42.291199999999996</v>
      </c>
    </row>
    <row r="69" spans="1:11" x14ac:dyDescent="0.25">
      <c r="A69" t="s">
        <v>80</v>
      </c>
      <c r="B69">
        <f>13.93*4.06</f>
        <v>56.555799999999991</v>
      </c>
      <c r="G69">
        <v>1.4</v>
      </c>
      <c r="K69">
        <f t="shared" si="1"/>
        <v>79.178119999999979</v>
      </c>
    </row>
    <row r="70" spans="1:11" x14ac:dyDescent="0.25">
      <c r="A70" t="s">
        <v>81</v>
      </c>
      <c r="B70">
        <f>8.3*6.3</f>
        <v>52.290000000000006</v>
      </c>
      <c r="G70">
        <v>0.8</v>
      </c>
      <c r="K70">
        <f t="shared" si="1"/>
        <v>41.832000000000008</v>
      </c>
    </row>
    <row r="71" spans="1:11" x14ac:dyDescent="0.25">
      <c r="A71" t="s">
        <v>82</v>
      </c>
      <c r="B71">
        <f>12.4</f>
        <v>12.4</v>
      </c>
      <c r="G71">
        <v>0.8</v>
      </c>
      <c r="K71">
        <f t="shared" si="1"/>
        <v>9.9200000000000017</v>
      </c>
    </row>
    <row r="72" spans="1:11" x14ac:dyDescent="0.25">
      <c r="A72" t="s">
        <v>83</v>
      </c>
      <c r="B72">
        <v>103.68</v>
      </c>
      <c r="D72" t="s">
        <v>54</v>
      </c>
      <c r="G72">
        <v>0.8</v>
      </c>
      <c r="K72">
        <f t="shared" si="1"/>
        <v>82.944000000000017</v>
      </c>
    </row>
    <row r="73" spans="1:11" x14ac:dyDescent="0.25">
      <c r="K73">
        <f t="shared" si="1"/>
        <v>0</v>
      </c>
    </row>
    <row r="74" spans="1:11" x14ac:dyDescent="0.25">
      <c r="A74" t="s">
        <v>23</v>
      </c>
      <c r="K74">
        <f t="shared" si="1"/>
        <v>0</v>
      </c>
    </row>
    <row r="75" spans="1:11" x14ac:dyDescent="0.25">
      <c r="A75" s="2" t="s">
        <v>24</v>
      </c>
      <c r="B75">
        <v>1.359</v>
      </c>
      <c r="G75">
        <v>1</v>
      </c>
      <c r="K75">
        <f t="shared" si="1"/>
        <v>1.359</v>
      </c>
    </row>
    <row r="76" spans="1:11" x14ac:dyDescent="0.25">
      <c r="A76" s="2" t="s">
        <v>25</v>
      </c>
      <c r="B76">
        <v>1.1732</v>
      </c>
      <c r="C76" t="s">
        <v>26</v>
      </c>
      <c r="G76">
        <f>8*1</f>
        <v>8</v>
      </c>
      <c r="K76">
        <f t="shared" si="1"/>
        <v>9.3856000000000002</v>
      </c>
    </row>
    <row r="77" spans="1:11" x14ac:dyDescent="0.25">
      <c r="A77" s="2" t="s">
        <v>27</v>
      </c>
      <c r="B77">
        <v>2.2130000000000001</v>
      </c>
      <c r="G77">
        <v>1</v>
      </c>
      <c r="K77">
        <f t="shared" si="1"/>
        <v>2.2130000000000001</v>
      </c>
    </row>
    <row r="78" spans="1:11" x14ac:dyDescent="0.25">
      <c r="A78" s="2" t="s">
        <v>28</v>
      </c>
      <c r="B78">
        <v>0.56020000000000003</v>
      </c>
      <c r="G78">
        <v>1</v>
      </c>
      <c r="K78">
        <f t="shared" si="1"/>
        <v>0.56020000000000003</v>
      </c>
    </row>
    <row r="79" spans="1:11" x14ac:dyDescent="0.25">
      <c r="A79" t="s">
        <v>29</v>
      </c>
      <c r="B79">
        <v>61.219000000000001</v>
      </c>
      <c r="G79">
        <v>2</v>
      </c>
      <c r="K79">
        <f t="shared" si="1"/>
        <v>122.438</v>
      </c>
    </row>
    <row r="80" spans="1:11" x14ac:dyDescent="0.25">
      <c r="A80" t="s">
        <v>52</v>
      </c>
      <c r="B80">
        <v>20.28</v>
      </c>
      <c r="D80" t="s">
        <v>50</v>
      </c>
      <c r="G80">
        <v>2</v>
      </c>
      <c r="K80">
        <f t="shared" si="1"/>
        <v>40.56</v>
      </c>
    </row>
    <row r="81" spans="1:11" x14ac:dyDescent="0.25">
      <c r="A81" t="s">
        <v>30</v>
      </c>
      <c r="B81">
        <v>7.5</v>
      </c>
      <c r="G81">
        <v>1</v>
      </c>
      <c r="K81">
        <f t="shared" si="1"/>
        <v>7.5</v>
      </c>
    </row>
    <row r="82" spans="1:11" x14ac:dyDescent="0.25">
      <c r="A82" t="s">
        <v>31</v>
      </c>
      <c r="B82">
        <v>2.33</v>
      </c>
      <c r="D82" t="s">
        <v>53</v>
      </c>
      <c r="G82">
        <v>1</v>
      </c>
      <c r="K82">
        <f t="shared" si="1"/>
        <v>2.33</v>
      </c>
    </row>
    <row r="83" spans="1:11" x14ac:dyDescent="0.25">
      <c r="A83" t="s">
        <v>84</v>
      </c>
      <c r="B83">
        <v>8.64</v>
      </c>
      <c r="D83" t="s">
        <v>51</v>
      </c>
      <c r="G83">
        <v>1</v>
      </c>
      <c r="K83">
        <f t="shared" si="1"/>
        <v>8.64</v>
      </c>
    </row>
    <row r="84" spans="1:11" x14ac:dyDescent="0.25">
      <c r="A84" t="s">
        <v>85</v>
      </c>
      <c r="B84">
        <v>2.89</v>
      </c>
      <c r="G84">
        <v>2</v>
      </c>
      <c r="K84">
        <f t="shared" si="1"/>
        <v>5.78</v>
      </c>
    </row>
    <row r="85" spans="1:11" x14ac:dyDescent="0.25">
      <c r="A85" s="2" t="s">
        <v>32</v>
      </c>
      <c r="B85">
        <v>2.1</v>
      </c>
      <c r="C85" t="s">
        <v>33</v>
      </c>
      <c r="G85">
        <f>2*1</f>
        <v>2</v>
      </c>
      <c r="K85">
        <f t="shared" si="1"/>
        <v>4.2</v>
      </c>
    </row>
    <row r="86" spans="1:11" x14ac:dyDescent="0.25">
      <c r="A86" t="s">
        <v>87</v>
      </c>
      <c r="B86">
        <v>1.2</v>
      </c>
      <c r="G86">
        <v>2</v>
      </c>
      <c r="K86">
        <f t="shared" ref="K86:K109" si="2">G86*B86</f>
        <v>2.4</v>
      </c>
    </row>
    <row r="87" spans="1:11" x14ac:dyDescent="0.25">
      <c r="A87" t="s">
        <v>86</v>
      </c>
      <c r="B87">
        <f>1.4*3.59+3.59*3.21/2</f>
        <v>10.787949999999999</v>
      </c>
      <c r="G87">
        <v>1.4</v>
      </c>
      <c r="K87">
        <f t="shared" si="2"/>
        <v>15.103129999999997</v>
      </c>
    </row>
    <row r="88" spans="1:11" x14ac:dyDescent="0.25">
      <c r="K88">
        <f t="shared" si="2"/>
        <v>0</v>
      </c>
    </row>
    <row r="89" spans="1:11" x14ac:dyDescent="0.25">
      <c r="K89">
        <f t="shared" si="2"/>
        <v>0</v>
      </c>
    </row>
    <row r="90" spans="1:11" x14ac:dyDescent="0.25">
      <c r="A90" t="s">
        <v>88</v>
      </c>
      <c r="B90">
        <f>42.66-B91-B92</f>
        <v>40.529999999999994</v>
      </c>
      <c r="D90" t="s">
        <v>71</v>
      </c>
      <c r="G90">
        <v>1</v>
      </c>
      <c r="K90">
        <f t="shared" si="2"/>
        <v>40.529999999999994</v>
      </c>
    </row>
    <row r="91" spans="1:11" x14ac:dyDescent="0.25">
      <c r="A91" s="2" t="s">
        <v>24</v>
      </c>
      <c r="B91">
        <v>0.77</v>
      </c>
      <c r="G91">
        <v>1</v>
      </c>
      <c r="K91">
        <f t="shared" si="2"/>
        <v>0.77</v>
      </c>
    </row>
    <row r="92" spans="1:11" x14ac:dyDescent="0.25">
      <c r="A92" s="2" t="s">
        <v>34</v>
      </c>
      <c r="B92">
        <v>1.36</v>
      </c>
      <c r="G92">
        <v>1</v>
      </c>
      <c r="K92">
        <f t="shared" si="2"/>
        <v>1.36</v>
      </c>
    </row>
    <row r="93" spans="1:11" x14ac:dyDescent="0.25">
      <c r="K93">
        <f t="shared" si="2"/>
        <v>0</v>
      </c>
    </row>
    <row r="94" spans="1:11" x14ac:dyDescent="0.25">
      <c r="K94">
        <f t="shared" si="2"/>
        <v>0</v>
      </c>
    </row>
    <row r="95" spans="1:11" x14ac:dyDescent="0.25">
      <c r="K95">
        <f t="shared" si="2"/>
        <v>0</v>
      </c>
    </row>
    <row r="96" spans="1:11" x14ac:dyDescent="0.25">
      <c r="K96">
        <f t="shared" si="2"/>
        <v>0</v>
      </c>
    </row>
    <row r="97" spans="1:12" x14ac:dyDescent="0.25">
      <c r="K97">
        <f t="shared" si="2"/>
        <v>0</v>
      </c>
    </row>
    <row r="98" spans="1:12" x14ac:dyDescent="0.25">
      <c r="K98">
        <f t="shared" si="2"/>
        <v>0</v>
      </c>
    </row>
    <row r="99" spans="1:12" x14ac:dyDescent="0.25">
      <c r="A99" s="2" t="s">
        <v>44</v>
      </c>
      <c r="K99">
        <f t="shared" si="2"/>
        <v>0</v>
      </c>
    </row>
    <row r="100" spans="1:12" x14ac:dyDescent="0.25">
      <c r="A100" t="s">
        <v>45</v>
      </c>
      <c r="B100">
        <v>123</v>
      </c>
      <c r="D100" t="s">
        <v>55</v>
      </c>
      <c r="G100">
        <v>1</v>
      </c>
      <c r="K100">
        <f t="shared" si="2"/>
        <v>123</v>
      </c>
    </row>
    <row r="101" spans="1:12" x14ac:dyDescent="0.25">
      <c r="A101" t="s">
        <v>46</v>
      </c>
      <c r="B101">
        <v>6.69</v>
      </c>
      <c r="G101">
        <v>1</v>
      </c>
      <c r="K101">
        <f t="shared" si="2"/>
        <v>6.69</v>
      </c>
    </row>
    <row r="102" spans="1:12" x14ac:dyDescent="0.25">
      <c r="A102" t="s">
        <v>47</v>
      </c>
      <c r="B102">
        <v>247.8</v>
      </c>
      <c r="G102">
        <v>1.2</v>
      </c>
      <c r="K102">
        <f t="shared" si="2"/>
        <v>297.36</v>
      </c>
    </row>
    <row r="103" spans="1:12" x14ac:dyDescent="0.25">
      <c r="K103">
        <f t="shared" si="2"/>
        <v>0</v>
      </c>
    </row>
    <row r="104" spans="1:12" x14ac:dyDescent="0.25">
      <c r="A104" t="s">
        <v>66</v>
      </c>
      <c r="D104" t="s">
        <v>67</v>
      </c>
      <c r="K104">
        <f t="shared" si="2"/>
        <v>0</v>
      </c>
    </row>
    <row r="105" spans="1:12" x14ac:dyDescent="0.25">
      <c r="K105">
        <f t="shared" si="2"/>
        <v>0</v>
      </c>
    </row>
    <row r="106" spans="1:12" x14ac:dyDescent="0.25">
      <c r="K106">
        <f t="shared" si="2"/>
        <v>0</v>
      </c>
    </row>
    <row r="107" spans="1:12" x14ac:dyDescent="0.25">
      <c r="K107">
        <f t="shared" si="2"/>
        <v>0</v>
      </c>
    </row>
    <row r="108" spans="1:12" x14ac:dyDescent="0.25">
      <c r="K108">
        <f t="shared" si="2"/>
        <v>0</v>
      </c>
    </row>
    <row r="109" spans="1:12" x14ac:dyDescent="0.25">
      <c r="A109" t="s">
        <v>69</v>
      </c>
      <c r="C109" t="s">
        <v>70</v>
      </c>
      <c r="K109">
        <f t="shared" si="2"/>
        <v>0</v>
      </c>
    </row>
    <row r="112" spans="1:12" x14ac:dyDescent="0.25">
      <c r="K112">
        <f>SUM(K15:K109)</f>
        <v>1715.8195199999996</v>
      </c>
      <c r="L112" t="s">
        <v>74</v>
      </c>
    </row>
    <row r="114" spans="1:14" x14ac:dyDescent="0.25">
      <c r="K114" t="s">
        <v>95</v>
      </c>
      <c r="L114">
        <v>-21</v>
      </c>
    </row>
    <row r="116" spans="1:14" x14ac:dyDescent="0.25">
      <c r="G116" s="6">
        <f>B129/41</f>
        <v>388.68922680000014</v>
      </c>
      <c r="K116" t="s">
        <v>96</v>
      </c>
      <c r="L116">
        <v>20</v>
      </c>
    </row>
    <row r="117" spans="1:14" x14ac:dyDescent="0.25">
      <c r="L117" t="s">
        <v>97</v>
      </c>
      <c r="M117">
        <f>L116-L114</f>
        <v>41</v>
      </c>
    </row>
    <row r="118" spans="1:14" x14ac:dyDescent="0.25">
      <c r="M118">
        <f>M117*K112/1000</f>
        <v>70.348600319999989</v>
      </c>
    </row>
    <row r="119" spans="1:14" x14ac:dyDescent="0.25">
      <c r="K119" t="s">
        <v>98</v>
      </c>
      <c r="M119">
        <f>M118+((I43+I45)/1000)</f>
        <v>73.253458419999987</v>
      </c>
      <c r="N119" t="s">
        <v>99</v>
      </c>
    </row>
    <row r="121" spans="1:14" x14ac:dyDescent="0.25">
      <c r="A121" t="s">
        <v>100</v>
      </c>
      <c r="G121">
        <v>-21</v>
      </c>
      <c r="H121">
        <f>20-G121</f>
        <v>41</v>
      </c>
      <c r="I121">
        <f>$K$112*H121</f>
        <v>70348.600319999983</v>
      </c>
      <c r="K121">
        <f>($K$112+$G$116)*H121</f>
        <v>86284.85861879999</v>
      </c>
    </row>
    <row r="122" spans="1:14" x14ac:dyDescent="0.25">
      <c r="A122" t="s">
        <v>126</v>
      </c>
      <c r="G122">
        <v>-20</v>
      </c>
      <c r="H122">
        <f t="shared" ref="H122:H152" si="3">20-G122</f>
        <v>40</v>
      </c>
      <c r="I122">
        <f t="shared" ref="I122:I152" si="4">$K$112*H122</f>
        <v>68632.780799999979</v>
      </c>
      <c r="K122">
        <f t="shared" ref="K122:K152" si="5">($K$112+$G$116)*H122</f>
        <v>84180.349871999992</v>
      </c>
    </row>
    <row r="123" spans="1:14" ht="17.25" x14ac:dyDescent="0.25">
      <c r="A123" t="s">
        <v>101</v>
      </c>
      <c r="B123" s="4">
        <v>1.2047000000000001</v>
      </c>
      <c r="C123" t="s">
        <v>102</v>
      </c>
      <c r="G123">
        <v>-19</v>
      </c>
      <c r="H123">
        <f t="shared" si="3"/>
        <v>39</v>
      </c>
      <c r="I123">
        <f t="shared" si="4"/>
        <v>66916.961279999989</v>
      </c>
      <c r="K123">
        <f t="shared" si="5"/>
        <v>82075.841125199993</v>
      </c>
    </row>
    <row r="124" spans="1:14" x14ac:dyDescent="0.25">
      <c r="A124" t="s">
        <v>103</v>
      </c>
      <c r="B124" s="4">
        <v>0.28056000000000003</v>
      </c>
      <c r="C124" t="s">
        <v>124</v>
      </c>
      <c r="G124">
        <v>-18</v>
      </c>
      <c r="H124">
        <f t="shared" si="3"/>
        <v>38</v>
      </c>
      <c r="I124">
        <f t="shared" si="4"/>
        <v>65201.141759999984</v>
      </c>
      <c r="K124">
        <f t="shared" si="5"/>
        <v>79971.332378399995</v>
      </c>
    </row>
    <row r="125" spans="1:14" x14ac:dyDescent="0.25">
      <c r="A125" t="s">
        <v>104</v>
      </c>
      <c r="B125">
        <f>20--21</f>
        <v>41</v>
      </c>
      <c r="C125" t="s">
        <v>105</v>
      </c>
      <c r="G125">
        <v>-17</v>
      </c>
      <c r="H125">
        <f t="shared" si="3"/>
        <v>37</v>
      </c>
      <c r="I125">
        <f t="shared" si="4"/>
        <v>63485.322239999987</v>
      </c>
      <c r="K125">
        <f t="shared" si="5"/>
        <v>77866.823631599982</v>
      </c>
    </row>
    <row r="126" spans="1:14" x14ac:dyDescent="0.25">
      <c r="A126" t="s">
        <v>106</v>
      </c>
      <c r="B126">
        <v>25</v>
      </c>
      <c r="C126" t="s">
        <v>123</v>
      </c>
      <c r="G126">
        <v>-16</v>
      </c>
      <c r="H126">
        <f t="shared" si="3"/>
        <v>36</v>
      </c>
      <c r="I126">
        <f t="shared" si="4"/>
        <v>61769.502719999982</v>
      </c>
      <c r="K126">
        <f t="shared" si="5"/>
        <v>75762.314884799984</v>
      </c>
    </row>
    <row r="127" spans="1:14" x14ac:dyDescent="0.25">
      <c r="A127" t="s">
        <v>107</v>
      </c>
      <c r="B127">
        <v>46</v>
      </c>
      <c r="G127">
        <v>-15</v>
      </c>
      <c r="H127">
        <f t="shared" si="3"/>
        <v>35</v>
      </c>
      <c r="I127">
        <f t="shared" si="4"/>
        <v>60053.683199999985</v>
      </c>
      <c r="K127">
        <f t="shared" si="5"/>
        <v>73657.806137999985</v>
      </c>
    </row>
    <row r="128" spans="1:14" x14ac:dyDescent="0.25">
      <c r="G128">
        <v>-14</v>
      </c>
      <c r="H128">
        <f t="shared" si="3"/>
        <v>34</v>
      </c>
      <c r="I128">
        <f t="shared" si="4"/>
        <v>58337.863679999988</v>
      </c>
      <c r="K128">
        <f t="shared" si="5"/>
        <v>71553.297391199987</v>
      </c>
    </row>
    <row r="129" spans="1:11" x14ac:dyDescent="0.25">
      <c r="B129" s="5">
        <f>B127*B126*B125*B124*B123</f>
        <v>15936.258298800005</v>
      </c>
      <c r="C129" t="s">
        <v>108</v>
      </c>
      <c r="D129" s="6">
        <f>B129/41</f>
        <v>388.68922680000014</v>
      </c>
      <c r="E129" t="s">
        <v>206</v>
      </c>
      <c r="G129">
        <v>-13</v>
      </c>
      <c r="H129">
        <f t="shared" si="3"/>
        <v>33</v>
      </c>
      <c r="I129">
        <f t="shared" si="4"/>
        <v>56622.044159999983</v>
      </c>
      <c r="K129">
        <f t="shared" si="5"/>
        <v>69448.788644399989</v>
      </c>
    </row>
    <row r="130" spans="1:11" x14ac:dyDescent="0.25">
      <c r="B130" s="6">
        <f>B129/1000</f>
        <v>15.936258298800006</v>
      </c>
      <c r="C130" t="s">
        <v>99</v>
      </c>
      <c r="G130">
        <v>-12</v>
      </c>
      <c r="H130">
        <f t="shared" si="3"/>
        <v>32</v>
      </c>
      <c r="I130">
        <f t="shared" si="4"/>
        <v>54906.224639999986</v>
      </c>
      <c r="K130">
        <f t="shared" si="5"/>
        <v>67344.27989759999</v>
      </c>
    </row>
    <row r="131" spans="1:11" x14ac:dyDescent="0.25">
      <c r="B131" s="6"/>
      <c r="G131">
        <v>-11</v>
      </c>
      <c r="H131">
        <f t="shared" si="3"/>
        <v>31</v>
      </c>
      <c r="I131">
        <f t="shared" si="4"/>
        <v>53190.405119999989</v>
      </c>
      <c r="K131">
        <f t="shared" si="5"/>
        <v>65239.771150799992</v>
      </c>
    </row>
    <row r="132" spans="1:11" x14ac:dyDescent="0.25">
      <c r="G132">
        <v>-10</v>
      </c>
      <c r="H132">
        <f t="shared" si="3"/>
        <v>30</v>
      </c>
      <c r="I132">
        <f t="shared" si="4"/>
        <v>51474.585599999984</v>
      </c>
      <c r="K132">
        <f t="shared" si="5"/>
        <v>63135.262403999994</v>
      </c>
    </row>
    <row r="133" spans="1:11" x14ac:dyDescent="0.25">
      <c r="G133">
        <v>-9</v>
      </c>
      <c r="H133">
        <f t="shared" si="3"/>
        <v>29</v>
      </c>
      <c r="I133">
        <f t="shared" si="4"/>
        <v>49758.766079999987</v>
      </c>
      <c r="K133">
        <f t="shared" si="5"/>
        <v>61030.753657199988</v>
      </c>
    </row>
    <row r="134" spans="1:11" x14ac:dyDescent="0.25">
      <c r="A134" s="6"/>
      <c r="G134">
        <v>-8</v>
      </c>
      <c r="H134">
        <f t="shared" si="3"/>
        <v>28</v>
      </c>
      <c r="I134">
        <f t="shared" si="4"/>
        <v>48042.946559999989</v>
      </c>
      <c r="K134">
        <f t="shared" si="5"/>
        <v>58926.24491039999</v>
      </c>
    </row>
    <row r="135" spans="1:11" x14ac:dyDescent="0.25">
      <c r="G135">
        <v>-7</v>
      </c>
      <c r="H135">
        <f t="shared" si="3"/>
        <v>27</v>
      </c>
      <c r="I135">
        <f t="shared" si="4"/>
        <v>46327.127039999985</v>
      </c>
      <c r="K135">
        <f t="shared" si="5"/>
        <v>56821.736163599991</v>
      </c>
    </row>
    <row r="136" spans="1:11" x14ac:dyDescent="0.25">
      <c r="G136">
        <v>-6</v>
      </c>
      <c r="H136">
        <f t="shared" si="3"/>
        <v>26</v>
      </c>
      <c r="I136">
        <f t="shared" si="4"/>
        <v>44611.307519999988</v>
      </c>
      <c r="K136">
        <f t="shared" si="5"/>
        <v>54717.227416799993</v>
      </c>
    </row>
    <row r="137" spans="1:11" x14ac:dyDescent="0.25">
      <c r="G137">
        <v>-5</v>
      </c>
      <c r="H137">
        <f t="shared" si="3"/>
        <v>25</v>
      </c>
      <c r="I137">
        <f t="shared" si="4"/>
        <v>42895.48799999999</v>
      </c>
      <c r="K137">
        <f t="shared" si="5"/>
        <v>52612.718669999995</v>
      </c>
    </row>
    <row r="138" spans="1:11" x14ac:dyDescent="0.25">
      <c r="G138">
        <v>-4</v>
      </c>
      <c r="H138">
        <f t="shared" si="3"/>
        <v>24</v>
      </c>
      <c r="I138">
        <f t="shared" si="4"/>
        <v>41179.668479999993</v>
      </c>
      <c r="K138">
        <f t="shared" si="5"/>
        <v>50508.209923199989</v>
      </c>
    </row>
    <row r="139" spans="1:11" x14ac:dyDescent="0.25">
      <c r="A139" t="s">
        <v>116</v>
      </c>
      <c r="G139">
        <v>-3</v>
      </c>
      <c r="H139">
        <f t="shared" si="3"/>
        <v>23</v>
      </c>
      <c r="I139">
        <f t="shared" si="4"/>
        <v>39463.848959999988</v>
      </c>
      <c r="K139">
        <f t="shared" si="5"/>
        <v>48403.701176399991</v>
      </c>
    </row>
    <row r="140" spans="1:11" x14ac:dyDescent="0.25">
      <c r="A140" t="s">
        <v>117</v>
      </c>
      <c r="B140">
        <v>33</v>
      </c>
      <c r="C140" t="s">
        <v>6</v>
      </c>
      <c r="G140">
        <v>-2</v>
      </c>
      <c r="H140">
        <f t="shared" si="3"/>
        <v>22</v>
      </c>
      <c r="I140">
        <f t="shared" si="4"/>
        <v>37748.029439999991</v>
      </c>
      <c r="K140">
        <f t="shared" si="5"/>
        <v>46299.192429599992</v>
      </c>
    </row>
    <row r="141" spans="1:11" x14ac:dyDescent="0.25">
      <c r="A141" t="s">
        <v>118</v>
      </c>
      <c r="B141">
        <v>2.65</v>
      </c>
      <c r="C141" t="s">
        <v>6</v>
      </c>
      <c r="G141">
        <v>-1</v>
      </c>
      <c r="H141">
        <f t="shared" si="3"/>
        <v>21</v>
      </c>
      <c r="I141">
        <f t="shared" si="4"/>
        <v>36032.209919999994</v>
      </c>
      <c r="K141">
        <f t="shared" si="5"/>
        <v>44194.683682799994</v>
      </c>
    </row>
    <row r="142" spans="1:11" x14ac:dyDescent="0.25">
      <c r="A142" t="s">
        <v>119</v>
      </c>
      <c r="B142">
        <f>B140*B141</f>
        <v>87.45</v>
      </c>
      <c r="C142" t="s">
        <v>120</v>
      </c>
      <c r="G142">
        <v>0</v>
      </c>
      <c r="H142">
        <f t="shared" si="3"/>
        <v>20</v>
      </c>
      <c r="I142">
        <f t="shared" si="4"/>
        <v>34316.390399999989</v>
      </c>
      <c r="K142">
        <f t="shared" si="5"/>
        <v>42090.174935999996</v>
      </c>
    </row>
    <row r="143" spans="1:11" x14ac:dyDescent="0.25">
      <c r="G143">
        <v>1</v>
      </c>
      <c r="H143">
        <f t="shared" si="3"/>
        <v>19</v>
      </c>
      <c r="I143">
        <f t="shared" si="4"/>
        <v>32600.570879999992</v>
      </c>
      <c r="K143">
        <f t="shared" si="5"/>
        <v>39985.666189199997</v>
      </c>
    </row>
    <row r="144" spans="1:11" x14ac:dyDescent="0.25">
      <c r="A144" t="s">
        <v>121</v>
      </c>
      <c r="B144">
        <v>15</v>
      </c>
      <c r="C144" t="s">
        <v>122</v>
      </c>
      <c r="G144">
        <v>2</v>
      </c>
      <c r="H144">
        <f t="shared" si="3"/>
        <v>18</v>
      </c>
      <c r="I144">
        <f t="shared" si="4"/>
        <v>30884.751359999991</v>
      </c>
      <c r="K144">
        <f t="shared" si="5"/>
        <v>37881.157442399992</v>
      </c>
    </row>
    <row r="145" spans="1:11" x14ac:dyDescent="0.25">
      <c r="G145">
        <v>3</v>
      </c>
      <c r="H145">
        <f t="shared" si="3"/>
        <v>17</v>
      </c>
      <c r="I145">
        <f t="shared" si="4"/>
        <v>29168.931839999994</v>
      </c>
      <c r="K145">
        <f t="shared" si="5"/>
        <v>35776.648695599994</v>
      </c>
    </row>
    <row r="146" spans="1:11" x14ac:dyDescent="0.25">
      <c r="A146">
        <f>B123*B124*B125*B144*B142</f>
        <v>18177.727672566005</v>
      </c>
      <c r="B146" t="s">
        <v>125</v>
      </c>
      <c r="G146">
        <v>4</v>
      </c>
      <c r="H146">
        <f t="shared" si="3"/>
        <v>16</v>
      </c>
      <c r="I146">
        <f t="shared" si="4"/>
        <v>27453.112319999993</v>
      </c>
      <c r="K146">
        <f t="shared" si="5"/>
        <v>33672.139948799995</v>
      </c>
    </row>
    <row r="147" spans="1:11" x14ac:dyDescent="0.25">
      <c r="A147">
        <f>A146/1000</f>
        <v>18.177727672566004</v>
      </c>
      <c r="B147" t="s">
        <v>99</v>
      </c>
      <c r="G147">
        <v>5</v>
      </c>
      <c r="H147">
        <f t="shared" si="3"/>
        <v>15</v>
      </c>
      <c r="I147">
        <f t="shared" si="4"/>
        <v>25737.292799999992</v>
      </c>
      <c r="K147">
        <f t="shared" si="5"/>
        <v>31567.631201999997</v>
      </c>
    </row>
    <row r="148" spans="1:11" x14ac:dyDescent="0.25">
      <c r="G148">
        <v>6</v>
      </c>
      <c r="H148">
        <f t="shared" si="3"/>
        <v>14</v>
      </c>
      <c r="I148">
        <f t="shared" si="4"/>
        <v>24021.473279999995</v>
      </c>
      <c r="K148">
        <f t="shared" si="5"/>
        <v>29463.122455199995</v>
      </c>
    </row>
    <row r="149" spans="1:11" x14ac:dyDescent="0.25">
      <c r="G149">
        <v>7</v>
      </c>
      <c r="H149">
        <f t="shared" si="3"/>
        <v>13</v>
      </c>
      <c r="I149">
        <f t="shared" si="4"/>
        <v>22305.653759999994</v>
      </c>
      <c r="K149">
        <f t="shared" si="5"/>
        <v>27358.613708399997</v>
      </c>
    </row>
    <row r="150" spans="1:11" x14ac:dyDescent="0.25">
      <c r="G150">
        <v>8</v>
      </c>
      <c r="H150">
        <f t="shared" si="3"/>
        <v>12</v>
      </c>
      <c r="I150">
        <f t="shared" si="4"/>
        <v>20589.834239999996</v>
      </c>
      <c r="K150">
        <f t="shared" si="5"/>
        <v>25254.104961599995</v>
      </c>
    </row>
    <row r="151" spans="1:11" x14ac:dyDescent="0.25">
      <c r="G151">
        <v>9</v>
      </c>
      <c r="H151">
        <f t="shared" si="3"/>
        <v>11</v>
      </c>
      <c r="I151">
        <f t="shared" si="4"/>
        <v>18874.014719999996</v>
      </c>
      <c r="K151">
        <f t="shared" si="5"/>
        <v>23149.596214799996</v>
      </c>
    </row>
    <row r="152" spans="1:11" x14ac:dyDescent="0.25">
      <c r="G152">
        <v>10</v>
      </c>
      <c r="H152">
        <f t="shared" si="3"/>
        <v>10</v>
      </c>
      <c r="I152">
        <f t="shared" si="4"/>
        <v>17158.195199999995</v>
      </c>
      <c r="K152">
        <f t="shared" si="5"/>
        <v>21045.087467999998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H34"/>
  <sheetViews>
    <sheetView workbookViewId="0">
      <selection activeCell="K18" sqref="K18"/>
    </sheetView>
  </sheetViews>
  <sheetFormatPr defaultRowHeight="15" x14ac:dyDescent="0.25"/>
  <cols>
    <col min="2" max="2" width="14.140625" customWidth="1"/>
  </cols>
  <sheetData>
    <row r="7" spans="2:8" x14ac:dyDescent="0.25">
      <c r="B7" s="10" t="s">
        <v>127</v>
      </c>
      <c r="C7" s="10">
        <v>1</v>
      </c>
      <c r="D7" s="10">
        <v>2</v>
      </c>
      <c r="E7" s="10">
        <v>3</v>
      </c>
    </row>
    <row r="8" spans="2:8" ht="33" x14ac:dyDescent="0.25">
      <c r="B8" s="10" t="s">
        <v>128</v>
      </c>
      <c r="C8" s="10" t="s">
        <v>129</v>
      </c>
      <c r="D8" s="10" t="s">
        <v>130</v>
      </c>
      <c r="E8" s="10" t="s">
        <v>131</v>
      </c>
    </row>
    <row r="12" spans="2:8" x14ac:dyDescent="0.25">
      <c r="C12" s="15" t="s">
        <v>195</v>
      </c>
      <c r="D12" s="15"/>
      <c r="E12" s="15"/>
      <c r="F12" s="15"/>
      <c r="G12" s="15"/>
      <c r="H12" s="15"/>
    </row>
    <row r="13" spans="2:8" x14ac:dyDescent="0.25">
      <c r="B13" s="12" t="s">
        <v>132</v>
      </c>
      <c r="C13" s="12" t="s">
        <v>133</v>
      </c>
      <c r="D13" s="12" t="s">
        <v>134</v>
      </c>
      <c r="E13" s="12" t="s">
        <v>135</v>
      </c>
      <c r="F13" s="12" t="s">
        <v>136</v>
      </c>
      <c r="G13" s="12" t="s">
        <v>137</v>
      </c>
      <c r="H13" s="12" t="s">
        <v>138</v>
      </c>
    </row>
    <row r="14" spans="2:8" x14ac:dyDescent="0.25">
      <c r="B14" s="11" t="s">
        <v>139</v>
      </c>
      <c r="C14" s="11" t="s">
        <v>140</v>
      </c>
      <c r="D14" s="11" t="s">
        <v>141</v>
      </c>
      <c r="E14" s="11" t="s">
        <v>142</v>
      </c>
      <c r="F14" s="11" t="s">
        <v>143</v>
      </c>
      <c r="G14" s="11" t="s">
        <v>144</v>
      </c>
      <c r="H14" s="11" t="s">
        <v>145</v>
      </c>
    </row>
    <row r="15" spans="2:8" x14ac:dyDescent="0.25">
      <c r="B15" s="11" t="s">
        <v>146</v>
      </c>
      <c r="C15" s="11" t="s">
        <v>147</v>
      </c>
      <c r="D15" s="11" t="s">
        <v>148</v>
      </c>
      <c r="E15" s="11" t="s">
        <v>149</v>
      </c>
      <c r="F15" s="11" t="s">
        <v>150</v>
      </c>
      <c r="G15" s="11" t="s">
        <v>151</v>
      </c>
      <c r="H15" s="11" t="s">
        <v>152</v>
      </c>
    </row>
    <row r="16" spans="2:8" x14ac:dyDescent="0.25">
      <c r="B16" s="11" t="s">
        <v>153</v>
      </c>
      <c r="C16" s="11" t="s">
        <v>154</v>
      </c>
      <c r="D16" s="11" t="s">
        <v>155</v>
      </c>
      <c r="E16" s="11" t="s">
        <v>156</v>
      </c>
      <c r="F16" s="11" t="s">
        <v>157</v>
      </c>
      <c r="G16" s="11" t="s">
        <v>158</v>
      </c>
      <c r="H16" s="11" t="s">
        <v>159</v>
      </c>
    </row>
    <row r="17" spans="2:8" x14ac:dyDescent="0.25">
      <c r="B17" s="11" t="s">
        <v>160</v>
      </c>
      <c r="C17" s="11" t="s">
        <v>161</v>
      </c>
      <c r="D17" s="11" t="s">
        <v>162</v>
      </c>
      <c r="E17" s="11" t="s">
        <v>163</v>
      </c>
      <c r="F17" s="11" t="s">
        <v>164</v>
      </c>
      <c r="G17" s="11" t="s">
        <v>165</v>
      </c>
      <c r="H17" s="11" t="s">
        <v>166</v>
      </c>
    </row>
    <row r="18" spans="2:8" x14ac:dyDescent="0.25">
      <c r="B18" s="11" t="s">
        <v>167</v>
      </c>
      <c r="C18" s="11" t="s">
        <v>168</v>
      </c>
      <c r="D18" s="11" t="s">
        <v>169</v>
      </c>
      <c r="E18" s="11" t="s">
        <v>170</v>
      </c>
      <c r="F18" s="11" t="s">
        <v>171</v>
      </c>
      <c r="G18" s="11" t="s">
        <v>172</v>
      </c>
      <c r="H18" s="11" t="s">
        <v>173</v>
      </c>
    </row>
    <row r="19" spans="2:8" x14ac:dyDescent="0.25">
      <c r="B19" s="11" t="s">
        <v>174</v>
      </c>
      <c r="C19" s="11" t="s">
        <v>175</v>
      </c>
      <c r="D19" s="11" t="s">
        <v>176</v>
      </c>
      <c r="E19" s="11" t="s">
        <v>177</v>
      </c>
      <c r="F19" s="11" t="s">
        <v>178</v>
      </c>
      <c r="G19" s="11" t="s">
        <v>179</v>
      </c>
      <c r="H19" s="11" t="s">
        <v>180</v>
      </c>
    </row>
    <row r="20" spans="2:8" x14ac:dyDescent="0.25">
      <c r="B20" s="11" t="s">
        <v>181</v>
      </c>
      <c r="C20" s="11" t="s">
        <v>182</v>
      </c>
      <c r="D20" s="11" t="s">
        <v>183</v>
      </c>
      <c r="E20" s="11" t="s">
        <v>184</v>
      </c>
      <c r="F20" s="11" t="s">
        <v>185</v>
      </c>
      <c r="G20" s="11" t="s">
        <v>186</v>
      </c>
      <c r="H20" s="11" t="s">
        <v>187</v>
      </c>
    </row>
    <row r="21" spans="2:8" ht="18" x14ac:dyDescent="0.25">
      <c r="B21" s="14" t="s">
        <v>188</v>
      </c>
      <c r="C21" s="11" t="s">
        <v>189</v>
      </c>
      <c r="D21" s="11" t="s">
        <v>190</v>
      </c>
      <c r="E21" s="11" t="s">
        <v>191</v>
      </c>
      <c r="F21" s="11" t="s">
        <v>192</v>
      </c>
      <c r="G21" s="11" t="s">
        <v>193</v>
      </c>
      <c r="H21" s="11" t="s">
        <v>194</v>
      </c>
    </row>
    <row r="26" spans="2:8" x14ac:dyDescent="0.25">
      <c r="B26" s="12" t="s">
        <v>132</v>
      </c>
      <c r="C26" s="12" t="s">
        <v>134</v>
      </c>
      <c r="D26" s="12" t="s">
        <v>135</v>
      </c>
      <c r="E26" s="12" t="s">
        <v>136</v>
      </c>
      <c r="F26" s="12" t="s">
        <v>137</v>
      </c>
      <c r="G26" s="12" t="s">
        <v>138</v>
      </c>
    </row>
    <row r="27" spans="2:8" x14ac:dyDescent="0.25">
      <c r="B27" s="10" t="s">
        <v>139</v>
      </c>
      <c r="C27" s="10">
        <v>1</v>
      </c>
      <c r="D27" s="10" t="s">
        <v>196</v>
      </c>
      <c r="E27" s="10" t="s">
        <v>197</v>
      </c>
      <c r="F27" s="10" t="s">
        <v>131</v>
      </c>
      <c r="G27" s="10" t="s">
        <v>198</v>
      </c>
    </row>
    <row r="28" spans="2:8" x14ac:dyDescent="0.25">
      <c r="B28" s="10" t="s">
        <v>146</v>
      </c>
      <c r="C28" s="10">
        <v>1</v>
      </c>
      <c r="D28" s="10" t="s">
        <v>199</v>
      </c>
      <c r="E28" s="10" t="s">
        <v>196</v>
      </c>
      <c r="F28" s="10" t="s">
        <v>200</v>
      </c>
      <c r="G28" s="10" t="s">
        <v>130</v>
      </c>
    </row>
    <row r="29" spans="2:8" x14ac:dyDescent="0.25">
      <c r="B29" s="10" t="s">
        <v>153</v>
      </c>
      <c r="C29" s="10">
        <v>1</v>
      </c>
      <c r="D29" s="10">
        <v>1</v>
      </c>
      <c r="E29" s="10">
        <v>1</v>
      </c>
      <c r="F29" s="10" t="s">
        <v>201</v>
      </c>
      <c r="G29" s="10" t="s">
        <v>196</v>
      </c>
    </row>
    <row r="30" spans="2:8" x14ac:dyDescent="0.25">
      <c r="B30" s="10" t="s">
        <v>160</v>
      </c>
      <c r="C30" s="10">
        <v>1</v>
      </c>
      <c r="D30" s="10">
        <v>1</v>
      </c>
      <c r="E30" s="10">
        <v>1</v>
      </c>
      <c r="F30" s="10" t="s">
        <v>201</v>
      </c>
      <c r="G30" s="10" t="s">
        <v>196</v>
      </c>
    </row>
    <row r="31" spans="2:8" x14ac:dyDescent="0.25">
      <c r="B31" s="10" t="s">
        <v>167</v>
      </c>
      <c r="C31" s="10">
        <v>1</v>
      </c>
      <c r="D31" s="10">
        <v>1</v>
      </c>
      <c r="E31" s="10">
        <v>1</v>
      </c>
      <c r="F31" s="10" t="s">
        <v>201</v>
      </c>
      <c r="G31" s="10" t="s">
        <v>196</v>
      </c>
    </row>
    <row r="32" spans="2:8" x14ac:dyDescent="0.25">
      <c r="B32" s="10" t="s">
        <v>174</v>
      </c>
      <c r="C32" s="10">
        <v>1</v>
      </c>
      <c r="D32" s="10" t="s">
        <v>199</v>
      </c>
      <c r="E32" s="10" t="s">
        <v>196</v>
      </c>
      <c r="F32" s="10" t="s">
        <v>200</v>
      </c>
      <c r="G32" s="10" t="s">
        <v>130</v>
      </c>
    </row>
    <row r="33" spans="2:7" x14ac:dyDescent="0.25">
      <c r="B33" s="10" t="s">
        <v>181</v>
      </c>
      <c r="C33" s="10">
        <v>1</v>
      </c>
      <c r="D33" s="10" t="s">
        <v>199</v>
      </c>
      <c r="E33" s="10" t="s">
        <v>197</v>
      </c>
      <c r="F33" s="10" t="s">
        <v>131</v>
      </c>
      <c r="G33" s="10" t="s">
        <v>198</v>
      </c>
    </row>
    <row r="34" spans="2:7" ht="18" x14ac:dyDescent="0.25">
      <c r="B34" s="13" t="s">
        <v>202</v>
      </c>
      <c r="C34" s="10">
        <v>1</v>
      </c>
      <c r="D34" s="10" t="s">
        <v>201</v>
      </c>
      <c r="E34" s="10" t="s">
        <v>203</v>
      </c>
      <c r="F34" s="10" t="s">
        <v>204</v>
      </c>
      <c r="G34" s="10" t="s">
        <v>205</v>
      </c>
    </row>
  </sheetData>
  <mergeCells count="1">
    <mergeCell ref="C12:H1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" sqref="A2:B6"/>
    </sheetView>
  </sheetViews>
  <sheetFormatPr defaultRowHeight="15" x14ac:dyDescent="0.25"/>
  <cols>
    <col min="1" max="1" width="52.140625" customWidth="1"/>
    <col min="2" max="2" width="13.7109375" bestFit="1" customWidth="1"/>
  </cols>
  <sheetData>
    <row r="1" spans="1:2" x14ac:dyDescent="0.25">
      <c r="A1" t="s">
        <v>109</v>
      </c>
    </row>
    <row r="2" spans="1:2" x14ac:dyDescent="0.25">
      <c r="A2" t="s">
        <v>111</v>
      </c>
      <c r="B2" s="7" t="s">
        <v>110</v>
      </c>
    </row>
    <row r="3" spans="1:2" ht="48.75" customHeight="1" x14ac:dyDescent="0.25">
      <c r="A3" s="8" t="s">
        <v>112</v>
      </c>
      <c r="B3" s="9">
        <v>0.02</v>
      </c>
    </row>
    <row r="4" spans="1:2" ht="48.75" customHeight="1" x14ac:dyDescent="0.25">
      <c r="A4" s="8" t="s">
        <v>113</v>
      </c>
      <c r="B4" s="9">
        <v>0.05</v>
      </c>
    </row>
    <row r="5" spans="1:2" ht="48.75" customHeight="1" x14ac:dyDescent="0.25">
      <c r="A5" s="8" t="s">
        <v>114</v>
      </c>
      <c r="B5" s="9">
        <v>0.15</v>
      </c>
    </row>
    <row r="6" spans="1:2" ht="48.75" customHeight="1" x14ac:dyDescent="0.25">
      <c r="A6" s="8" t="s">
        <v>115</v>
      </c>
      <c r="B6" s="9">
        <v>0.1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Sklep</vt:lpstr>
      <vt:lpstr>List2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2021-01-03T01:39:05Z</dcterms:modified>
</cp:coreProperties>
</file>