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Tomáš\Desktop\Diplomka\"/>
    </mc:Choice>
  </mc:AlternateContent>
  <xr:revisionPtr revIDLastSave="0" documentId="13_ncr:1_{CBB16DAB-960B-409D-8838-7EE7327EF8EA}" xr6:coauthVersionLast="47" xr6:coauthVersionMax="47" xr10:uidLastSave="{00000000-0000-0000-0000-000000000000}"/>
  <bookViews>
    <workbookView xWindow="-120" yWindow="-18120" windowWidth="29040" windowHeight="17520" firstSheet="1" activeTab="1" xr2:uid="{DFA8235D-3C9C-4264-8666-EF81978FEBE7}"/>
  </bookViews>
  <sheets>
    <sheet name="Tabulka" sheetId="7" r:id="rId1"/>
    <sheet name="Porovnání pro bazén 80%" sheetId="20" r:id="rId2"/>
    <sheet name="Porovnání pro bazén 90%" sheetId="19" r:id="rId3"/>
    <sheet name="Porovnání na zákledě měření" sheetId="13" r:id="rId4"/>
    <sheet name="Porovnání na zákledě měření 2" sheetId="21" r:id="rId5"/>
    <sheet name="Jodat" sheetId="17" r:id="rId6"/>
    <sheet name="K_T" sheetId="18" r:id="rId7"/>
    <sheet name="ASH_Carrier" sheetId="15" r:id="rId8"/>
    <sheet name="Shah" sheetId="16" r:id="rId9"/>
    <sheet name="ASH_Smedegard" sheetId="14" r:id="rId10"/>
    <sheet name="K_MV" sheetId="12" r:id="rId11"/>
    <sheet name="VDI_2089" sheetId="10" r:id="rId12"/>
    <sheet name="Chyský_pri_krit_tl" sheetId="2" r:id="rId13"/>
    <sheet name="Fiedler-Kaluza" sheetId="9" r:id="rId14"/>
  </sheets>
  <definedNames>
    <definedName name="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8" l="1"/>
  <c r="W5" i="7"/>
  <c r="V5" i="7"/>
  <c r="U5" i="7"/>
  <c r="Q7" i="7" l="1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B7" i="7"/>
  <c r="B9" i="17"/>
  <c r="B8" i="17"/>
  <c r="B11" i="16"/>
  <c r="B15" i="16" s="1"/>
  <c r="B10" i="16"/>
  <c r="B18" i="16" s="1"/>
  <c r="B6" i="16"/>
  <c r="B5" i="16"/>
  <c r="B10" i="15"/>
  <c r="B9" i="15"/>
  <c r="B10" i="14"/>
  <c r="B9" i="14"/>
  <c r="B6" i="12"/>
  <c r="B5" i="12"/>
  <c r="B11" i="14" l="1"/>
  <c r="B10" i="17"/>
  <c r="B11" i="15"/>
  <c r="B10" i="12"/>
  <c r="B19" i="16"/>
  <c r="B20" i="16" s="1"/>
  <c r="B14" i="16"/>
  <c r="B16" i="16" s="1"/>
  <c r="B21" i="16" l="1"/>
  <c r="B6" i="2"/>
  <c r="B10" i="2"/>
  <c r="B29" i="2"/>
  <c r="B31" i="2" s="1"/>
  <c r="T5" i="7" l="1"/>
  <c r="O5" i="7"/>
  <c r="P5" i="7"/>
  <c r="Q5" i="7"/>
  <c r="R5" i="7"/>
  <c r="S5" i="7"/>
  <c r="B9" i="9"/>
  <c r="B10" i="9" s="1"/>
  <c r="B6" i="9"/>
  <c r="B5" i="9"/>
  <c r="B10" i="10"/>
  <c r="B9" i="10"/>
  <c r="C5" i="7"/>
  <c r="D5" i="7"/>
  <c r="E5" i="7"/>
  <c r="F5" i="7"/>
  <c r="G5" i="7"/>
  <c r="H5" i="7"/>
  <c r="I5" i="7"/>
  <c r="J5" i="7"/>
  <c r="K5" i="7"/>
  <c r="L5" i="7"/>
  <c r="M5" i="7"/>
  <c r="N5" i="7"/>
  <c r="B5" i="7"/>
  <c r="B12" i="9" l="1"/>
  <c r="B11" i="10"/>
  <c r="B9" i="2"/>
  <c r="B7" i="2" l="1"/>
  <c r="B14" i="2" l="1"/>
  <c r="B12" i="2"/>
  <c r="B16" i="2"/>
  <c r="B17" i="2"/>
  <c r="B18" i="2" l="1"/>
  <c r="B20" i="2" s="1"/>
  <c r="B27" i="2" s="1"/>
  <c r="B30" i="2" l="1"/>
  <c r="B32" i="2" s="1"/>
  <c r="B33" i="2" l="1"/>
  <c r="B34" i="2" s="1"/>
</calcChain>
</file>

<file path=xl/sharedStrings.xml><?xml version="1.0" encoding="utf-8"?>
<sst xmlns="http://schemas.openxmlformats.org/spreadsheetml/2006/main" count="340" uniqueCount="144">
  <si>
    <t>[°C]</t>
  </si>
  <si>
    <t>[Pa]</t>
  </si>
  <si>
    <t>[%]</t>
  </si>
  <si>
    <t>[m]</t>
  </si>
  <si>
    <t>Součinitel přenosu vlhkosti vzt. na rozdíl parc. Tlaků</t>
  </si>
  <si>
    <r>
      <t>[kg/m2</t>
    </r>
    <r>
      <rPr>
        <sz val="11"/>
        <color theme="1"/>
        <rFont val="Aptos Narrow"/>
        <family val="2"/>
      </rPr>
      <t>∙</t>
    </r>
    <r>
      <rPr>
        <sz val="11"/>
        <color theme="1"/>
        <rFont val="Aptos Narrow"/>
        <family val="2"/>
        <charset val="238"/>
        <scheme val="minor"/>
      </rPr>
      <t>Pa∙s]</t>
    </r>
  </si>
  <si>
    <t>Měrná vlhkost u hladiny</t>
  </si>
  <si>
    <t>Měrná vlhkost v proudu vzduchu</t>
  </si>
  <si>
    <t>[m2]</t>
  </si>
  <si>
    <t>Výpočet přes kriteriální závislosti</t>
  </si>
  <si>
    <t>Chyva Hout</t>
  </si>
  <si>
    <t>Teplota vlhkého vzduchu</t>
  </si>
  <si>
    <t>Dynamická viskozita suchého vzduchu</t>
  </si>
  <si>
    <t>Dynamická viskozita vodní páry</t>
  </si>
  <si>
    <t>Relativní vlhkost</t>
  </si>
  <si>
    <t>Celkový tlak</t>
  </si>
  <si>
    <t>[Pa∙s]</t>
  </si>
  <si>
    <t>Dynamická viskozita vlhkého vzduchu</t>
  </si>
  <si>
    <t>Výpočet hustoty vlhkého vzduchu</t>
  </si>
  <si>
    <t>Hustota suchého vzduchu</t>
  </si>
  <si>
    <t>Hustota vodní páry</t>
  </si>
  <si>
    <t>[kg/m3]</t>
  </si>
  <si>
    <t>Hustota vlhkého vzduchu</t>
  </si>
  <si>
    <t>Výpočet kinematické viskozity vlhkého vzduchu</t>
  </si>
  <si>
    <t>Kinematická viskozita vlhkého vzduchu</t>
  </si>
  <si>
    <t>[m2/s]</t>
  </si>
  <si>
    <t>[-]</t>
  </si>
  <si>
    <t>Hsuan-Yu Chen and Chia-Chung Chen</t>
  </si>
  <si>
    <t>Součinitel difuze vztahující se k rozdílu koncentrací</t>
  </si>
  <si>
    <t>Schmidtovo kritéruim</t>
  </si>
  <si>
    <t>Součinitel difuze vztahující se k rozdílu parciálních tlaků</t>
  </si>
  <si>
    <t>Sherwoodovo kritérium</t>
  </si>
  <si>
    <t>Sh</t>
  </si>
  <si>
    <t>Sc</t>
  </si>
  <si>
    <t>Teplota vody</t>
  </si>
  <si>
    <t>Parciální tlak vodní páry pro proudící vzduch</t>
  </si>
  <si>
    <t>Hmotnost odpařované vody (rozdíl tlaků)</t>
  </si>
  <si>
    <t>Plocha bazénu</t>
  </si>
  <si>
    <t>Teplota proudícího vzduchu [°C]</t>
  </si>
  <si>
    <t>Teplota vody [°C]</t>
  </si>
  <si>
    <t>Plocha bazénu [m2]</t>
  </si>
  <si>
    <t>Hyldegard (1990)</t>
  </si>
  <si>
    <t>Bohlen (1972)</t>
  </si>
  <si>
    <t>Boelter et al. (1946)</t>
  </si>
  <si>
    <t>Rohwer (1931)</t>
  </si>
  <si>
    <t>Sharpley and Boelter (1938)</t>
  </si>
  <si>
    <t>Biasin and Krumme (1974)</t>
  </si>
  <si>
    <t>Sprenger (1968)</t>
  </si>
  <si>
    <t>Tang et al. (1993)</t>
  </si>
  <si>
    <t>Reeker (1978)</t>
  </si>
  <si>
    <t>Smith et al. (1993)</t>
  </si>
  <si>
    <t>Doering (1979)</t>
  </si>
  <si>
    <t>Rohwer (1931)*</t>
  </si>
  <si>
    <t>Sharpley and Boelter (1938)*</t>
  </si>
  <si>
    <t>Biasin and Krumme (1974)*</t>
  </si>
  <si>
    <t>Smith et al. (1993)*</t>
  </si>
  <si>
    <t>Sprenger (1968)*</t>
  </si>
  <si>
    <t>Relativní vlhkost vzduchu [%]</t>
  </si>
  <si>
    <t>Grashofovo kriterium</t>
  </si>
  <si>
    <t>Výpočet pomocí VDI 2089</t>
  </si>
  <si>
    <t>Součinitel přenosu vlhkosti</t>
  </si>
  <si>
    <t>[m/h]</t>
  </si>
  <si>
    <t>VDI 2089</t>
  </si>
  <si>
    <t>Fiedler-Kaluza</t>
  </si>
  <si>
    <t>Výpočet pomocí zjednodušení dle Fiedler-Kaluza</t>
  </si>
  <si>
    <t>Průměrná teplota</t>
  </si>
  <si>
    <t>K</t>
  </si>
  <si>
    <t>Tloušťka mezní vrstvy [m]</t>
  </si>
  <si>
    <t>Plavecký b. chladný</t>
  </si>
  <si>
    <t>Plavecký b. teplý</t>
  </si>
  <si>
    <t>Dětský bazén</t>
  </si>
  <si>
    <t>Chyský_pri_krit_tl</t>
  </si>
  <si>
    <t>Hmotnost odpařované vody</t>
  </si>
  <si>
    <t>β</t>
  </si>
  <si>
    <t>A</t>
  </si>
  <si>
    <t>φ</t>
  </si>
  <si>
    <r>
      <t>t</t>
    </r>
    <r>
      <rPr>
        <sz val="8"/>
        <color theme="1"/>
        <rFont val="Arial"/>
        <family val="2"/>
        <charset val="238"/>
      </rPr>
      <t>v</t>
    </r>
  </si>
  <si>
    <r>
      <t>t</t>
    </r>
    <r>
      <rPr>
        <sz val="8"/>
        <color theme="1"/>
        <rFont val="Arial"/>
        <family val="2"/>
        <charset val="238"/>
      </rPr>
      <t>w</t>
    </r>
  </si>
  <si>
    <r>
      <t>p</t>
    </r>
    <r>
      <rPr>
        <sz val="8"/>
        <color theme="1"/>
        <rFont val="Arial"/>
        <family val="2"/>
        <charset val="238"/>
      </rPr>
      <t>d</t>
    </r>
  </si>
  <si>
    <t>Parciální tlak vodní páry nasycené vrstvy nad hladinou</t>
  </si>
  <si>
    <r>
      <t>p</t>
    </r>
    <r>
      <rPr>
        <sz val="8"/>
        <color theme="1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“</t>
    </r>
  </si>
  <si>
    <t>Výpočet rozměru mezní vrstvy</t>
  </si>
  <si>
    <t>Rozměr mezní vrstvy</t>
  </si>
  <si>
    <t>Výpočet Grashofova kriteria</t>
  </si>
  <si>
    <t>Výpočet hmotnosti odpařované vody</t>
  </si>
  <si>
    <t>[m2/K]</t>
  </si>
  <si>
    <r>
      <t>D</t>
    </r>
    <r>
      <rPr>
        <sz val="8"/>
        <color theme="1"/>
        <rFont val="Arial"/>
        <family val="2"/>
        <charset val="238"/>
      </rPr>
      <t>c</t>
    </r>
  </si>
  <si>
    <r>
      <t>D</t>
    </r>
    <r>
      <rPr>
        <sz val="8"/>
        <color theme="1"/>
        <rFont val="Arial"/>
        <family val="2"/>
        <charset val="238"/>
      </rPr>
      <t>p</t>
    </r>
  </si>
  <si>
    <r>
      <t>β</t>
    </r>
    <r>
      <rPr>
        <sz val="8"/>
        <color theme="1"/>
        <rFont val="Arial"/>
        <family val="2"/>
        <charset val="238"/>
      </rPr>
      <t>p</t>
    </r>
  </si>
  <si>
    <t>δ</t>
  </si>
  <si>
    <t>Gr</t>
  </si>
  <si>
    <t>[m2/s] (Tab)</t>
  </si>
  <si>
    <t>ν</t>
  </si>
  <si>
    <t>[kg/m3] (Tab)</t>
  </si>
  <si>
    <r>
      <rPr>
        <sz val="11"/>
        <color theme="1"/>
        <rFont val="Aptos Narrow"/>
        <family val="2"/>
      </rPr>
      <t>ρ</t>
    </r>
    <r>
      <rPr>
        <sz val="8"/>
        <color theme="1"/>
        <rFont val="Arial"/>
        <family val="2"/>
        <charset val="238"/>
      </rPr>
      <t>d</t>
    </r>
  </si>
  <si>
    <t>ρ</t>
  </si>
  <si>
    <r>
      <rPr>
        <sz val="11"/>
        <color theme="1"/>
        <rFont val="Aptos Narrow"/>
        <family val="2"/>
      </rPr>
      <t>ρ</t>
    </r>
    <r>
      <rPr>
        <sz val="8"/>
        <color theme="1"/>
        <rFont val="Arial"/>
        <family val="2"/>
        <charset val="238"/>
      </rPr>
      <t>w</t>
    </r>
  </si>
  <si>
    <t>[Pa∙s] (Tab)</t>
  </si>
  <si>
    <t>μ</t>
  </si>
  <si>
    <r>
      <t>p</t>
    </r>
    <r>
      <rPr>
        <sz val="8"/>
        <color theme="1"/>
        <rFont val="Arial"/>
        <family val="2"/>
        <charset val="238"/>
      </rPr>
      <t>c</t>
    </r>
  </si>
  <si>
    <t>Výpočet dynamické viskozity vlhkého vzduchu</t>
  </si>
  <si>
    <r>
      <t>μ</t>
    </r>
    <r>
      <rPr>
        <sz val="8"/>
        <color theme="1"/>
        <rFont val="Aptos Narrow"/>
        <family val="2"/>
      </rPr>
      <t>w</t>
    </r>
  </si>
  <si>
    <r>
      <t>μ</t>
    </r>
    <r>
      <rPr>
        <sz val="8"/>
        <color theme="1"/>
        <rFont val="Aptos Narrow"/>
        <family val="2"/>
      </rPr>
      <t>v</t>
    </r>
  </si>
  <si>
    <t>[kg/h∙m2]</t>
  </si>
  <si>
    <t>Výpočet pomocí konstanty a měrných vlhkostí</t>
  </si>
  <si>
    <t>Konstanta</t>
  </si>
  <si>
    <t>Výpočet pomocí ASHRAE - Smedegard a kol.</t>
  </si>
  <si>
    <r>
      <t>F</t>
    </r>
    <r>
      <rPr>
        <sz val="8"/>
        <color theme="1"/>
        <rFont val="Arial"/>
        <family val="2"/>
        <charset val="238"/>
      </rPr>
      <t>act</t>
    </r>
  </si>
  <si>
    <t>Míra aktivity</t>
  </si>
  <si>
    <t>ASH_Smedegard</t>
  </si>
  <si>
    <t>ASH_Carrier</t>
  </si>
  <si>
    <t>Výpočet pomocí ASHRAE - Carrier</t>
  </si>
  <si>
    <t>Rychlost proudění</t>
  </si>
  <si>
    <t>Výparné teplo vody</t>
  </si>
  <si>
    <t>[m/s]</t>
  </si>
  <si>
    <t>v</t>
  </si>
  <si>
    <t>[J/kg]</t>
  </si>
  <si>
    <t xml:space="preserve">Výpočet pomocí Shah </t>
  </si>
  <si>
    <t>Jodat</t>
  </si>
  <si>
    <t>Výpočet pomocí Jodat</t>
  </si>
  <si>
    <t>[g/h∙m2]</t>
  </si>
  <si>
    <t>Měření [g/h∙m2]</t>
  </si>
  <si>
    <t>Výpočet pomocí konstanty a teplot</t>
  </si>
  <si>
    <t>Výpočet hustoty vlhkého vzduchu proudící</t>
  </si>
  <si>
    <t>Výpočet hustoty nasyceného vzduchu v mezní vrstvě</t>
  </si>
  <si>
    <t>K_T (ČVUT)</t>
  </si>
  <si>
    <t>K_MV (ČVUT)</t>
  </si>
  <si>
    <t>x</t>
  </si>
  <si>
    <t>[kg/kg]</t>
  </si>
  <si>
    <t>ASH_Shah</t>
  </si>
  <si>
    <r>
      <t>t</t>
    </r>
    <r>
      <rPr>
        <sz val="6"/>
        <color theme="1"/>
        <rFont val="Arial"/>
        <family val="2"/>
      </rPr>
      <t>1</t>
    </r>
  </si>
  <si>
    <r>
      <t>t</t>
    </r>
    <r>
      <rPr>
        <sz val="6"/>
        <color theme="1"/>
        <rFont val="Arial"/>
        <family val="2"/>
      </rPr>
      <t>2</t>
    </r>
  </si>
  <si>
    <r>
      <t>t</t>
    </r>
    <r>
      <rPr>
        <sz val="8"/>
        <color theme="1"/>
        <rFont val="Arial"/>
        <family val="2"/>
        <charset val="238"/>
      </rPr>
      <t>1</t>
    </r>
  </si>
  <si>
    <r>
      <t>t</t>
    </r>
    <r>
      <rPr>
        <sz val="8"/>
        <color theme="1"/>
        <rFont val="Arial"/>
        <family val="2"/>
        <charset val="238"/>
      </rPr>
      <t>2</t>
    </r>
  </si>
  <si>
    <t>S</t>
  </si>
  <si>
    <t>f</t>
  </si>
  <si>
    <r>
      <t>t</t>
    </r>
    <r>
      <rPr>
        <sz val="6"/>
        <color theme="1"/>
        <rFont val="Aptos Narrow"/>
        <family val="2"/>
        <scheme val="minor"/>
      </rPr>
      <t>2</t>
    </r>
  </si>
  <si>
    <r>
      <t>t</t>
    </r>
    <r>
      <rPr>
        <sz val="6"/>
        <color theme="1"/>
        <rFont val="Aptos Narrow"/>
        <family val="2"/>
        <scheme val="minor"/>
      </rPr>
      <t>1</t>
    </r>
  </si>
  <si>
    <r>
      <t>x</t>
    </r>
    <r>
      <rPr>
        <sz val="6"/>
        <color theme="1"/>
        <rFont val="Aptos Narrow"/>
        <family val="2"/>
        <scheme val="minor"/>
      </rPr>
      <t>1</t>
    </r>
  </si>
  <si>
    <r>
      <t>x</t>
    </r>
    <r>
      <rPr>
        <sz val="6"/>
        <color theme="1"/>
        <rFont val="Aptos Narrow"/>
        <family val="2"/>
        <scheme val="minor"/>
      </rPr>
      <t>2</t>
    </r>
  </si>
  <si>
    <r>
      <t>P</t>
    </r>
    <r>
      <rPr>
        <sz val="8"/>
        <color theme="1"/>
        <rFont val="Aptos Narrow"/>
        <family val="2"/>
        <scheme val="minor"/>
      </rPr>
      <t>b</t>
    </r>
  </si>
  <si>
    <t>β.1,13</t>
  </si>
  <si>
    <t>m</t>
  </si>
  <si>
    <r>
      <t>t</t>
    </r>
    <r>
      <rPr>
        <sz val="8"/>
        <color theme="1"/>
        <rFont val="Arial"/>
        <family val="2"/>
        <charset val="238"/>
      </rPr>
      <t>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</si>
</sst>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0"/>
  </numFmts>
  <fonts count="15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</font>
    <font>
      <sz val="14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sz val="11"/>
      <color rgb="FF040C28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1"/>
      <name val="Aptos Narrow"/>
      <family val="2"/>
    </font>
    <font>
      <sz val="11"/>
      <color rgb="FF000000"/>
      <name val="Aptos Narrow"/>
      <family val="2"/>
    </font>
    <font>
      <sz val="6"/>
      <color theme="1"/>
      <name val="Arial"/>
      <family val="2"/>
    </font>
    <font>
      <sz val="8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1"/>
    <xf numFmtId="0" fontId="3" fillId="0" borderId="0" xfId="0" applyFont="1"/>
    <xf numFmtId="0" fontId="0" fillId="0" borderId="1" xfId="0" applyBorder="1"/>
    <xf numFmtId="0" fontId="0" fillId="4" borderId="0" xfId="0" applyFill="1"/>
    <xf numFmtId="1" fontId="0" fillId="0" borderId="4" xfId="0" applyNumberFormat="1" applyBorder="1"/>
    <xf numFmtId="0" fontId="0" fillId="0" borderId="7" xfId="0" applyBorder="1"/>
    <xf numFmtId="0" fontId="0" fillId="6" borderId="10" xfId="0" applyFill="1" applyBorder="1"/>
    <xf numFmtId="0" fontId="0" fillId="5" borderId="11" xfId="0" applyFill="1" applyBorder="1"/>
    <xf numFmtId="0" fontId="0" fillId="8" borderId="11" xfId="0" applyFill="1" applyBorder="1"/>
    <xf numFmtId="0" fontId="0" fillId="7" borderId="11" xfId="0" applyFill="1" applyBorder="1"/>
    <xf numFmtId="0" fontId="0" fillId="7" borderId="12" xfId="0" applyFill="1" applyBorder="1"/>
    <xf numFmtId="0" fontId="0" fillId="5" borderId="6" xfId="0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0" fillId="5" borderId="3" xfId="0" applyFill="1" applyBorder="1" applyAlignment="1">
      <alignment wrapText="1"/>
    </xf>
    <xf numFmtId="1" fontId="0" fillId="0" borderId="8" xfId="0" applyNumberFormat="1" applyBorder="1"/>
    <xf numFmtId="164" fontId="0" fillId="0" borderId="13" xfId="0" applyNumberFormat="1" applyBorder="1"/>
    <xf numFmtId="165" fontId="0" fillId="0" borderId="13" xfId="0" applyNumberFormat="1" applyBorder="1"/>
    <xf numFmtId="1" fontId="0" fillId="0" borderId="13" xfId="0" applyNumberFormat="1" applyBorder="1"/>
    <xf numFmtId="2" fontId="0" fillId="0" borderId="13" xfId="0" applyNumberFormat="1" applyBorder="1"/>
    <xf numFmtId="164" fontId="0" fillId="0" borderId="0" xfId="0" applyNumberFormat="1"/>
    <xf numFmtId="164" fontId="0" fillId="0" borderId="7" xfId="0" applyNumberFormat="1" applyBorder="1"/>
    <xf numFmtId="2" fontId="4" fillId="0" borderId="0" xfId="0" applyNumberFormat="1" applyFont="1"/>
    <xf numFmtId="0" fontId="0" fillId="0" borderId="0" xfId="0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1" fontId="0" fillId="3" borderId="1" xfId="0" applyNumberFormat="1" applyFill="1" applyBorder="1" applyAlignment="1">
      <alignment horizontal="center" vertical="center"/>
    </xf>
    <xf numFmtId="11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" fontId="0" fillId="0" borderId="0" xfId="0" applyNumberFormat="1"/>
    <xf numFmtId="0" fontId="0" fillId="0" borderId="18" xfId="0" applyBorder="1"/>
    <xf numFmtId="0" fontId="0" fillId="0" borderId="19" xfId="0" applyBorder="1"/>
    <xf numFmtId="1" fontId="0" fillId="3" borderId="1" xfId="0" applyNumberForma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" fontId="0" fillId="9" borderId="9" xfId="0" applyNumberFormat="1" applyFill="1" applyBorder="1"/>
    <xf numFmtId="0" fontId="6" fillId="0" borderId="0" xfId="0" applyFont="1"/>
    <xf numFmtId="1" fontId="0" fillId="10" borderId="0" xfId="0" applyNumberFormat="1" applyFill="1"/>
    <xf numFmtId="0" fontId="0" fillId="0" borderId="15" xfId="0" applyBorder="1"/>
    <xf numFmtId="0" fontId="0" fillId="0" borderId="14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1" fontId="0" fillId="9" borderId="5" xfId="0" applyNumberFormat="1" applyFill="1" applyBorder="1"/>
    <xf numFmtId="1" fontId="0" fillId="9" borderId="1" xfId="0" applyNumberFormat="1" applyFill="1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4" borderId="1" xfId="0" applyFill="1" applyBorder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13" Type="http://schemas.openxmlformats.org/officeDocument/2006/relationships/worksheet" Target="worksheets/sheet9.xml"/><Relationship Id="rId1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12" Type="http://schemas.openxmlformats.org/officeDocument/2006/relationships/worksheet" Target="worksheets/sheet8.xml"/><Relationship Id="rId1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worksheet" Target="worksheets/sheet7.xml"/><Relationship Id="rId5" Type="http://schemas.openxmlformats.org/officeDocument/2006/relationships/chartsheet" Target="chartsheets/sheet4.xml"/><Relationship Id="rId15" Type="http://schemas.openxmlformats.org/officeDocument/2006/relationships/theme" Target="theme/theme1.xml"/><Relationship Id="rId10" Type="http://schemas.openxmlformats.org/officeDocument/2006/relationships/worksheet" Target="worksheets/sheet6.xml"/><Relationship Id="rId19" Type="http://schemas.microsoft.com/office/2006/relationships/vbaProject" Target="vbaProject.bin"/><Relationship Id="rId4" Type="http://schemas.openxmlformats.org/officeDocument/2006/relationships/chartsheet" Target="chartsheets/sheet3.xml"/><Relationship Id="rId9" Type="http://schemas.openxmlformats.org/officeDocument/2006/relationships/worksheet" Target="worksheets/sheet5.xml"/><Relationship Id="rId14" Type="http://schemas.openxmlformats.org/officeDocument/2006/relationships/worksheet" Target="worksheets/sheet1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800" b="1"/>
              <a:t>Porovnání pro bazén</a:t>
            </a:r>
          </a:p>
        </c:rich>
      </c:tx>
      <c:layout>
        <c:manualLayout>
          <c:xMode val="edge"/>
          <c:yMode val="edge"/>
          <c:x val="0.36428669602896463"/>
          <c:y val="1.48327131902196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Tabulka!$A$8</c:f>
              <c:strCache>
                <c:ptCount val="1"/>
                <c:pt idx="0">
                  <c:v>Chyský_pri_krit_tl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Tabulka!$R$8:$T$8</c:f>
              <c:numCache>
                <c:formatCode>0</c:formatCode>
                <c:ptCount val="3"/>
                <c:pt idx="0">
                  <c:v>61.699409501996385</c:v>
                </c:pt>
                <c:pt idx="1">
                  <c:v>104.90758248633443</c:v>
                </c:pt>
                <c:pt idx="2">
                  <c:v>274.71111044386208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62-45C1-8BA3-0134C1FB95CA}"/>
            </c:ext>
          </c:extLst>
        </c:ser>
        <c:ser>
          <c:idx val="2"/>
          <c:order val="1"/>
          <c:tx>
            <c:strRef>
              <c:f>Tabulka!$A$9</c:f>
              <c:strCache>
                <c:ptCount val="1"/>
                <c:pt idx="0">
                  <c:v>VDI 2089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Tabulka!$R$9:$T$9</c:f>
              <c:numCache>
                <c:formatCode>0</c:formatCode>
                <c:ptCount val="3"/>
                <c:pt idx="0">
                  <c:v>49.580128678138728</c:v>
                </c:pt>
                <c:pt idx="1">
                  <c:v>70.632867218303375</c:v>
                </c:pt>
                <c:pt idx="2">
                  <c:v>147.18043003391384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62-45C1-8BA3-0134C1FB95CA}"/>
            </c:ext>
          </c:extLst>
        </c:ser>
        <c:ser>
          <c:idx val="3"/>
          <c:order val="2"/>
          <c:tx>
            <c:strRef>
              <c:f>Tabulka!$A$10</c:f>
              <c:strCache>
                <c:ptCount val="1"/>
                <c:pt idx="0">
                  <c:v>Fiedler-Kaluza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Tabulka!$R$10:$T$10</c:f>
              <c:numCache>
                <c:formatCode>0</c:formatCode>
                <c:ptCount val="3"/>
                <c:pt idx="0">
                  <c:v>48.346022593605916</c:v>
                </c:pt>
                <c:pt idx="1">
                  <c:v>69.466016716358766</c:v>
                </c:pt>
                <c:pt idx="2">
                  <c:v>144.79257572786452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62-45C1-8BA3-0134C1FB95CA}"/>
            </c:ext>
          </c:extLst>
        </c:ser>
        <c:ser>
          <c:idx val="4"/>
          <c:order val="3"/>
          <c:tx>
            <c:strRef>
              <c:f>Tabulka!$A$11</c:f>
              <c:strCache>
                <c:ptCount val="1"/>
                <c:pt idx="0">
                  <c:v>K_MV (ČVUT)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Tabulka!$R$11:$T$11</c:f>
              <c:numCache>
                <c:formatCode>0</c:formatCode>
                <c:ptCount val="3"/>
                <c:pt idx="0">
                  <c:v>48.346022593605923</c:v>
                </c:pt>
                <c:pt idx="1">
                  <c:v>69.46601671635878</c:v>
                </c:pt>
                <c:pt idx="2">
                  <c:v>148.74146415680625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62-45C1-8BA3-0134C1FB95CA}"/>
            </c:ext>
          </c:extLst>
        </c:ser>
        <c:ser>
          <c:idx val="5"/>
          <c:order val="4"/>
          <c:tx>
            <c:strRef>
              <c:f>Tabulka!$A$12</c:f>
              <c:strCache>
                <c:ptCount val="1"/>
                <c:pt idx="0">
                  <c:v>ASH_Smedegard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Tabulka!$R$12:$T$12</c:f>
              <c:numCache>
                <c:formatCode>0</c:formatCode>
                <c:ptCount val="3"/>
                <c:pt idx="0">
                  <c:v>74.38293502641713</c:v>
                </c:pt>
                <c:pt idx="1">
                  <c:v>106.32286993495316</c:v>
                </c:pt>
                <c:pt idx="2">
                  <c:v>223.77085112394448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62-45C1-8BA3-0134C1FB95CA}"/>
            </c:ext>
          </c:extLst>
        </c:ser>
        <c:ser>
          <c:idx val="6"/>
          <c:order val="5"/>
          <c:tx>
            <c:strRef>
              <c:f>Tabulka!$A$13</c:f>
              <c:strCache>
                <c:ptCount val="1"/>
                <c:pt idx="0">
                  <c:v>ASH_Carrier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Tabulka!$R$13:$T$13</c:f>
              <c:numCache>
                <c:formatCode>0</c:formatCode>
                <c:ptCount val="3"/>
                <c:pt idx="0">
                  <c:v>103.70768304324244</c:v>
                </c:pt>
                <c:pt idx="1">
                  <c:v>148.23962635443124</c:v>
                </c:pt>
                <c:pt idx="2">
                  <c:v>311.99033077192684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262-45C1-8BA3-0134C1FB95CA}"/>
            </c:ext>
          </c:extLst>
        </c:ser>
        <c:ser>
          <c:idx val="7"/>
          <c:order val="6"/>
          <c:tx>
            <c:strRef>
              <c:f>Tabulka!$A$14</c:f>
              <c:strCache>
                <c:ptCount val="1"/>
                <c:pt idx="0">
                  <c:v>ASH_Shah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Tabulka!$R$14:$T$14</c:f>
              <c:numCache>
                <c:formatCode>0</c:formatCode>
                <c:ptCount val="3"/>
                <c:pt idx="0">
                  <c:v>57.298770497121758</c:v>
                </c:pt>
                <c:pt idx="1">
                  <c:v>99.083545455661621</c:v>
                </c:pt>
                <c:pt idx="2">
                  <c:v>274.65374922268035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62-45C1-8BA3-0134C1FB95CA}"/>
            </c:ext>
          </c:extLst>
        </c:ser>
        <c:ser>
          <c:idx val="8"/>
          <c:order val="7"/>
          <c:tx>
            <c:strRef>
              <c:f>Tabulka!$A$15</c:f>
              <c:strCache>
                <c:ptCount val="1"/>
                <c:pt idx="0">
                  <c:v>Jodat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Tabulka!$R$15:$T$15</c:f>
              <c:numCache>
                <c:formatCode>0</c:formatCode>
                <c:ptCount val="3"/>
                <c:pt idx="0">
                  <c:v>49.591737172529498</c:v>
                </c:pt>
                <c:pt idx="1">
                  <c:v>81.106474829756309</c:v>
                </c:pt>
                <c:pt idx="2">
                  <c:v>225.98000347029145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262-45C1-8BA3-0134C1FB95CA}"/>
            </c:ext>
          </c:extLst>
        </c:ser>
        <c:ser>
          <c:idx val="9"/>
          <c:order val="8"/>
          <c:tx>
            <c:strRef>
              <c:f>Tabulka!$A$16</c:f>
              <c:strCache>
                <c:ptCount val="1"/>
                <c:pt idx="0">
                  <c:v>K_T (ČVUT)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Tabulka!$R$16:$T$16</c:f>
              <c:numCache>
                <c:formatCode>0</c:formatCode>
                <c:ptCount val="3"/>
                <c:pt idx="0">
                  <c:v>76.760931609854623</c:v>
                </c:pt>
                <c:pt idx="1">
                  <c:v>110.91266066235153</c:v>
                </c:pt>
                <c:pt idx="2">
                  <c:v>223.73907322717332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62-45C1-8BA3-0134C1FB9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5923784"/>
        <c:axId val="595925944"/>
      </c:barChart>
      <c:catAx>
        <c:axId val="595923784"/>
        <c:scaling>
          <c:orientation val="minMax"/>
        </c:scaling>
        <c:delete val="0"/>
        <c:axPos val="b"/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5944"/>
        <c:crosses val="autoZero"/>
        <c:auto val="1"/>
        <c:lblAlgn val="ctr"/>
        <c:lblOffset val="100"/>
        <c:noMultiLvlLbl val="0"/>
      </c:catAx>
      <c:valAx>
        <c:axId val="59592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[g</a:t>
                </a:r>
                <a:r>
                  <a:rPr lang="cs-CZ" sz="1600"/>
                  <a:t>/</a:t>
                </a:r>
                <a:r>
                  <a:rPr lang="en-GB" sz="1600"/>
                  <a:t>h.m</a:t>
                </a:r>
                <a:r>
                  <a:rPr lang="cs-CZ" sz="1600"/>
                  <a:t>2</a:t>
                </a:r>
                <a:r>
                  <a:rPr lang="en-GB" sz="1600"/>
                  <a:t>]</a:t>
                </a:r>
                <a:endParaRPr lang="cs-CZ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3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sz="1800" b="1"/>
              <a:t>Porovnání pro bazén</a:t>
            </a:r>
          </a:p>
        </c:rich>
      </c:tx>
      <c:layout>
        <c:manualLayout>
          <c:xMode val="edge"/>
          <c:yMode val="edge"/>
          <c:x val="0.36428669602896463"/>
          <c:y val="1.48327131902196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Tabulka!$A$8</c:f>
              <c:strCache>
                <c:ptCount val="1"/>
                <c:pt idx="0">
                  <c:v>Chyský_pri_krit_tl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Tabulka!$U$8:$W$8</c:f>
              <c:numCache>
                <c:formatCode>0</c:formatCode>
                <c:ptCount val="3"/>
                <c:pt idx="0">
                  <c:v>42.788829416375314</c:v>
                </c:pt>
                <c:pt idx="1">
                  <c:v>82.403822792116188</c:v>
                </c:pt>
                <c:pt idx="2">
                  <c:v>246.66965495609469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DD-4702-A5E8-ECBD0A07B301}"/>
            </c:ext>
          </c:extLst>
        </c:ser>
        <c:ser>
          <c:idx val="2"/>
          <c:order val="1"/>
          <c:tx>
            <c:strRef>
              <c:f>Tabulka!$A$9</c:f>
              <c:strCache>
                <c:ptCount val="1"/>
                <c:pt idx="0">
                  <c:v>VDI 2089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Tabulka!$U$9:$W$9</c:f>
              <c:numCache>
                <c:formatCode>0</c:formatCode>
                <c:ptCount val="3"/>
                <c:pt idx="0">
                  <c:v>34.394100671788358</c:v>
                </c:pt>
                <c:pt idx="1">
                  <c:v>55.497603136426839</c:v>
                </c:pt>
                <c:pt idx="2">
                  <c:v>132.19544161725534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DD-4702-A5E8-ECBD0A07B301}"/>
            </c:ext>
          </c:extLst>
        </c:ser>
        <c:ser>
          <c:idx val="3"/>
          <c:order val="2"/>
          <c:tx>
            <c:strRef>
              <c:f>Tabulka!$A$10</c:f>
              <c:strCache>
                <c:ptCount val="1"/>
                <c:pt idx="0">
                  <c:v>Fiedler-Kaluza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Tabulka!$U$10:$W$10</c:f>
              <c:numCache>
                <c:formatCode>0</c:formatCode>
                <c:ptCount val="3"/>
                <c:pt idx="0">
                  <c:v>33.663954221616429</c:v>
                </c:pt>
                <c:pt idx="1">
                  <c:v>54.783948344369279</c:v>
                </c:pt>
                <c:pt idx="2">
                  <c:v>130.50029678168005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BDD-4702-A5E8-ECBD0A07B301}"/>
            </c:ext>
          </c:extLst>
        </c:ser>
        <c:ser>
          <c:idx val="4"/>
          <c:order val="3"/>
          <c:tx>
            <c:strRef>
              <c:f>Tabulka!$A$11</c:f>
              <c:strCache>
                <c:ptCount val="1"/>
                <c:pt idx="0">
                  <c:v>K_MV (ČVUT)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Tabulka!$U$11:$W$11</c:f>
              <c:numCache>
                <c:formatCode>0</c:formatCode>
                <c:ptCount val="3"/>
                <c:pt idx="0">
                  <c:v>33.663954221616429</c:v>
                </c:pt>
                <c:pt idx="1">
                  <c:v>54.783948344369286</c:v>
                </c:pt>
                <c:pt idx="2">
                  <c:v>134.05939578481676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BDD-4702-A5E8-ECBD0A07B301}"/>
            </c:ext>
          </c:extLst>
        </c:ser>
        <c:ser>
          <c:idx val="5"/>
          <c:order val="4"/>
          <c:tx>
            <c:strRef>
              <c:f>Tabulka!$A$12</c:f>
              <c:strCache>
                <c:ptCount val="1"/>
                <c:pt idx="0">
                  <c:v>ASH_Smedegard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Tabulka!$U$12:$W$12</c:f>
              <c:numCache>
                <c:formatCode>0</c:formatCode>
                <c:ptCount val="3"/>
                <c:pt idx="0">
                  <c:v>51.599990233380034</c:v>
                </c:pt>
                <c:pt idx="1">
                  <c:v>83.539925141916044</c:v>
                </c:pt>
                <c:pt idx="2">
                  <c:v>200.98790633090735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BDD-4702-A5E8-ECBD0A07B301}"/>
            </c:ext>
          </c:extLst>
        </c:ser>
        <c:ser>
          <c:idx val="6"/>
          <c:order val="5"/>
          <c:tx>
            <c:strRef>
              <c:f>Tabulka!$A$13</c:f>
              <c:strCache>
                <c:ptCount val="1"/>
                <c:pt idx="0">
                  <c:v>ASH_Carrier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Tabulka!$U$13:$W$13</c:f>
              <c:numCache>
                <c:formatCode>0</c:formatCode>
                <c:ptCount val="3"/>
                <c:pt idx="0">
                  <c:v>71.942784057354814</c:v>
                </c:pt>
                <c:pt idx="1">
                  <c:v>116.47472736854363</c:v>
                </c:pt>
                <c:pt idx="2">
                  <c:v>280.22543178603928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BDD-4702-A5E8-ECBD0A07B301}"/>
            </c:ext>
          </c:extLst>
        </c:ser>
        <c:ser>
          <c:idx val="7"/>
          <c:order val="6"/>
          <c:tx>
            <c:strRef>
              <c:f>Tabulka!$A$14</c:f>
              <c:strCache>
                <c:ptCount val="1"/>
                <c:pt idx="0">
                  <c:v>ASH_Shah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Tabulka!$U$14:$W$14</c:f>
              <c:numCache>
                <c:formatCode>0</c:formatCode>
                <c:ptCount val="3"/>
                <c:pt idx="0">
                  <c:v>38.395617644819097</c:v>
                </c:pt>
                <c:pt idx="1">
                  <c:v>76.522912429127373</c:v>
                </c:pt>
                <c:pt idx="2">
                  <c:v>245.38018377657249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BDD-4702-A5E8-ECBD0A07B301}"/>
            </c:ext>
          </c:extLst>
        </c:ser>
        <c:ser>
          <c:idx val="8"/>
          <c:order val="7"/>
          <c:tx>
            <c:strRef>
              <c:f>Tabulka!$A$15</c:f>
              <c:strCache>
                <c:ptCount val="1"/>
                <c:pt idx="0">
                  <c:v>Jodat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Tabulka!$U$15:$W$15</c:f>
              <c:numCache>
                <c:formatCode>0</c:formatCode>
                <c:ptCount val="3"/>
                <c:pt idx="0">
                  <c:v>29.971542763169939</c:v>
                </c:pt>
                <c:pt idx="1">
                  <c:v>58.18870917453691</c:v>
                </c:pt>
                <c:pt idx="2">
                  <c:v>194.9196222079533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BDD-4702-A5E8-ECBD0A07B301}"/>
            </c:ext>
          </c:extLst>
        </c:ser>
        <c:ser>
          <c:idx val="9"/>
          <c:order val="8"/>
          <c:tx>
            <c:strRef>
              <c:f>Tabulka!$A$16</c:f>
              <c:strCache>
                <c:ptCount val="1"/>
                <c:pt idx="0">
                  <c:v>K_T (ČVUT)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Tabulka!$U$16:$W$16</c:f>
              <c:numCache>
                <c:formatCode>0</c:formatCode>
                <c:ptCount val="3"/>
                <c:pt idx="0">
                  <c:v>54.560617927871647</c:v>
                </c:pt>
                <c:pt idx="1">
                  <c:v>88.712346980368551</c:v>
                </c:pt>
                <c:pt idx="2">
                  <c:v>201.53875954519035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BDD-4702-A5E8-ECBD0A07B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5923784"/>
        <c:axId val="595925944"/>
      </c:barChart>
      <c:catAx>
        <c:axId val="595923784"/>
        <c:scaling>
          <c:orientation val="minMax"/>
        </c:scaling>
        <c:delete val="0"/>
        <c:axPos val="b"/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5944"/>
        <c:crosses val="autoZero"/>
        <c:auto val="1"/>
        <c:lblAlgn val="ctr"/>
        <c:lblOffset val="100"/>
        <c:noMultiLvlLbl val="0"/>
      </c:catAx>
      <c:valAx>
        <c:axId val="59592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[g</a:t>
                </a:r>
                <a:r>
                  <a:rPr lang="cs-CZ" sz="1600"/>
                  <a:t>/</a:t>
                </a:r>
                <a:r>
                  <a:rPr lang="en-GB" sz="1600"/>
                  <a:t>h.m</a:t>
                </a:r>
                <a:r>
                  <a:rPr lang="cs-CZ" sz="1600"/>
                  <a:t>2</a:t>
                </a:r>
                <a:r>
                  <a:rPr lang="en-GB" sz="1600"/>
                  <a:t>]</a:t>
                </a:r>
                <a:endParaRPr lang="cs-CZ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3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Tabulka!$A$7</c:f>
              <c:strCache>
                <c:ptCount val="1"/>
                <c:pt idx="0">
                  <c:v>Měření [g/h∙m2]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Tabulka!$B$7:$I$7</c:f>
              <c:numCache>
                <c:formatCode>0</c:formatCode>
                <c:ptCount val="8"/>
                <c:pt idx="0">
                  <c:v>125</c:v>
                </c:pt>
                <c:pt idx="1">
                  <c:v>52</c:v>
                </c:pt>
                <c:pt idx="2">
                  <c:v>82</c:v>
                </c:pt>
                <c:pt idx="3">
                  <c:v>10</c:v>
                </c:pt>
                <c:pt idx="4">
                  <c:v>18</c:v>
                </c:pt>
                <c:pt idx="5">
                  <c:v>30</c:v>
                </c:pt>
                <c:pt idx="6">
                  <c:v>70</c:v>
                </c:pt>
                <c:pt idx="7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C6-4474-A1FD-9E6E725E7C46}"/>
            </c:ext>
          </c:extLst>
        </c:ser>
        <c:ser>
          <c:idx val="1"/>
          <c:order val="1"/>
          <c:tx>
            <c:strRef>
              <c:f>Tabulka!$A$8</c:f>
              <c:strCache>
                <c:ptCount val="1"/>
                <c:pt idx="0">
                  <c:v>Chyský_pri_krit_tl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Tabulka!$B$8:$I$8</c:f>
              <c:numCache>
                <c:formatCode>0</c:formatCode>
                <c:ptCount val="8"/>
                <c:pt idx="0">
                  <c:v>130.7003984007215</c:v>
                </c:pt>
                <c:pt idx="1">
                  <c:v>65.952111068697491</c:v>
                </c:pt>
                <c:pt idx="2">
                  <c:v>129.8286130538404</c:v>
                </c:pt>
                <c:pt idx="3">
                  <c:v>19.241351323486928</c:v>
                </c:pt>
                <c:pt idx="4">
                  <c:v>19.84832903321626</c:v>
                </c:pt>
                <c:pt idx="5">
                  <c:v>0</c:v>
                </c:pt>
                <c:pt idx="6">
                  <c:v>99.520996846492494</c:v>
                </c:pt>
                <c:pt idx="7">
                  <c:v>159.47563910885205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C6-4474-A1FD-9E6E725E7C46}"/>
            </c:ext>
          </c:extLst>
        </c:ser>
        <c:ser>
          <c:idx val="2"/>
          <c:order val="2"/>
          <c:tx>
            <c:strRef>
              <c:f>Tabulka!$A$9</c:f>
              <c:strCache>
                <c:ptCount val="1"/>
                <c:pt idx="0">
                  <c:v>VDI 2089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Tabulka!$B$9:$I$9</c:f>
              <c:numCache>
                <c:formatCode>0</c:formatCode>
                <c:ptCount val="8"/>
                <c:pt idx="0">
                  <c:v>98.055416276260161</c:v>
                </c:pt>
                <c:pt idx="1">
                  <c:v>52.175293442130581</c:v>
                </c:pt>
                <c:pt idx="2">
                  <c:v>82.626581208338436</c:v>
                </c:pt>
                <c:pt idx="3">
                  <c:v>19.471607140331635</c:v>
                </c:pt>
                <c:pt idx="4">
                  <c:v>11.07234857014461</c:v>
                </c:pt>
                <c:pt idx="5">
                  <c:v>92.987775644503273</c:v>
                </c:pt>
                <c:pt idx="6">
                  <c:v>73.410295280510255</c:v>
                </c:pt>
                <c:pt idx="7">
                  <c:v>102.57290288489175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C6-4474-A1FD-9E6E725E7C46}"/>
            </c:ext>
          </c:extLst>
        </c:ser>
        <c:ser>
          <c:idx val="3"/>
          <c:order val="3"/>
          <c:tx>
            <c:strRef>
              <c:f>Tabulka!$A$10</c:f>
              <c:strCache>
                <c:ptCount val="1"/>
                <c:pt idx="0">
                  <c:v>Fiedler-Kaluza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Tabulka!$B$10:$I$10</c:f>
              <c:numCache>
                <c:formatCode>0</c:formatCode>
                <c:ptCount val="8"/>
                <c:pt idx="0">
                  <c:v>95.319789852700566</c:v>
                </c:pt>
                <c:pt idx="1">
                  <c:v>50.687964423994458</c:v>
                </c:pt>
                <c:pt idx="2">
                  <c:v>80.552671147016653</c:v>
                </c:pt>
                <c:pt idx="3">
                  <c:v>17.461333619811754</c:v>
                </c:pt>
                <c:pt idx="4">
                  <c:v>10.315780970378986</c:v>
                </c:pt>
                <c:pt idx="5">
                  <c:v>88.992427531444903</c:v>
                </c:pt>
                <c:pt idx="6">
                  <c:v>71.070598816343718</c:v>
                </c:pt>
                <c:pt idx="7">
                  <c:v>97.751601404347284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C6-4474-A1FD-9E6E725E7C46}"/>
            </c:ext>
          </c:extLst>
        </c:ser>
        <c:ser>
          <c:idx val="4"/>
          <c:order val="4"/>
          <c:tx>
            <c:strRef>
              <c:f>Tabulka!$A$11</c:f>
              <c:strCache>
                <c:ptCount val="1"/>
                <c:pt idx="0">
                  <c:v>K_MV (ČVUT)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Tabulka!$B$11:$I$11</c:f>
              <c:numCache>
                <c:formatCode>0</c:formatCode>
                <c:ptCount val="8"/>
                <c:pt idx="0">
                  <c:v>95.31978985270058</c:v>
                </c:pt>
                <c:pt idx="1">
                  <c:v>50.687964423994465</c:v>
                </c:pt>
                <c:pt idx="2">
                  <c:v>78.469412410455874</c:v>
                </c:pt>
                <c:pt idx="3">
                  <c:v>17.009747405506278</c:v>
                </c:pt>
                <c:pt idx="4">
                  <c:v>10.048993531489876</c:v>
                </c:pt>
                <c:pt idx="5">
                  <c:v>88.992427531444903</c:v>
                </c:pt>
                <c:pt idx="6">
                  <c:v>73.008887874971265</c:v>
                </c:pt>
                <c:pt idx="7">
                  <c:v>97.751601404347284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1C6-4474-A1FD-9E6E725E7C46}"/>
            </c:ext>
          </c:extLst>
        </c:ser>
        <c:ser>
          <c:idx val="5"/>
          <c:order val="5"/>
          <c:tx>
            <c:strRef>
              <c:f>Tabulka!$A$12</c:f>
              <c:strCache>
                <c:ptCount val="1"/>
                <c:pt idx="0">
                  <c:v>ASH_Smedegard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Tabulka!$B$12:$I$12</c:f>
              <c:numCache>
                <c:formatCode>0</c:formatCode>
                <c:ptCount val="8"/>
                <c:pt idx="0">
                  <c:v>148.2431530879644</c:v>
                </c:pt>
                <c:pt idx="1">
                  <c:v>78.538889286772957</c:v>
                </c:pt>
                <c:pt idx="2">
                  <c:v>122.44355500373538</c:v>
                </c:pt>
                <c:pt idx="3">
                  <c:v>27.409602759843047</c:v>
                </c:pt>
                <c:pt idx="4">
                  <c:v>16.210221850509008</c:v>
                </c:pt>
                <c:pt idx="5">
                  <c:v>139.17802840639305</c:v>
                </c:pt>
                <c:pt idx="6">
                  <c:v>111.88892258778623</c:v>
                </c:pt>
                <c:pt idx="7">
                  <c:v>152.59537734368368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1C6-4474-A1FD-9E6E725E7C46}"/>
            </c:ext>
          </c:extLst>
        </c:ser>
        <c:ser>
          <c:idx val="6"/>
          <c:order val="6"/>
          <c:tx>
            <c:strRef>
              <c:f>Tabulka!$A$13</c:f>
              <c:strCache>
                <c:ptCount val="1"/>
                <c:pt idx="0">
                  <c:v>ASH_Carrier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Tabulka!$B$13:$I$13</c:f>
              <c:numCache>
                <c:formatCode>0</c:formatCode>
                <c:ptCount val="8"/>
                <c:pt idx="0">
                  <c:v>206.68657304686099</c:v>
                </c:pt>
                <c:pt idx="1">
                  <c:v>109.5020818125586</c:v>
                </c:pt>
                <c:pt idx="2">
                  <c:v>170.71573457682723</c:v>
                </c:pt>
                <c:pt idx="3">
                  <c:v>38.215571815624642</c:v>
                </c:pt>
                <c:pt idx="4">
                  <c:v>22.600944008678592</c:v>
                </c:pt>
                <c:pt idx="5">
                  <c:v>194.04761120850395</c:v>
                </c:pt>
                <c:pt idx="6">
                  <c:v>156.00004108016108</c:v>
                </c:pt>
                <c:pt idx="7">
                  <c:v>212.75461934652566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1C6-4474-A1FD-9E6E725E7C46}"/>
            </c:ext>
          </c:extLst>
        </c:ser>
        <c:ser>
          <c:idx val="7"/>
          <c:order val="7"/>
          <c:tx>
            <c:strRef>
              <c:f>Tabulka!$A$14</c:f>
              <c:strCache>
                <c:ptCount val="1"/>
                <c:pt idx="0">
                  <c:v>ASH_Shah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Tabulka!$B$14:$I$14</c:f>
              <c:numCache>
                <c:formatCode>0</c:formatCode>
                <c:ptCount val="8"/>
                <c:pt idx="0">
                  <c:v>45.392161666566494</c:v>
                </c:pt>
                <c:pt idx="1">
                  <c:v>38.982725632811515</c:v>
                </c:pt>
                <c:pt idx="2">
                  <c:v>124.6435782780071</c:v>
                </c:pt>
                <c:pt idx="3">
                  <c:v>17.331663565089109</c:v>
                </c:pt>
                <c:pt idx="4">
                  <c:v>17.140466581678822</c:v>
                </c:pt>
                <c:pt idx="5">
                  <c:v>92.641006687751386</c:v>
                </c:pt>
                <c:pt idx="6">
                  <c:v>54.497009396951896</c:v>
                </c:pt>
                <c:pt idx="7">
                  <c:v>155.29843139242661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1C6-4474-A1FD-9E6E725E7C46}"/>
            </c:ext>
          </c:extLst>
        </c:ser>
        <c:ser>
          <c:idx val="8"/>
          <c:order val="8"/>
          <c:tx>
            <c:strRef>
              <c:f>Tabulka!$A$15</c:f>
              <c:strCache>
                <c:ptCount val="1"/>
                <c:pt idx="0">
                  <c:v>Jodat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Tabulka!$B$15:$I$15</c:f>
              <c:numCache>
                <c:formatCode>0</c:formatCode>
                <c:ptCount val="8"/>
                <c:pt idx="0">
                  <c:v>128.1807053171157</c:v>
                </c:pt>
                <c:pt idx="1">
                  <c:v>53.446870437183577</c:v>
                </c:pt>
                <c:pt idx="2">
                  <c:v>98.509553051247437</c:v>
                </c:pt>
                <c:pt idx="3">
                  <c:v>12.54245777336131</c:v>
                </c:pt>
                <c:pt idx="4">
                  <c:v>6.0851315101544783</c:v>
                </c:pt>
                <c:pt idx="5">
                  <c:v>117.51340191522003</c:v>
                </c:pt>
                <c:pt idx="6">
                  <c:v>87.010246322840942</c:v>
                </c:pt>
                <c:pt idx="7">
                  <c:v>133.39116002432587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1C6-4474-A1FD-9E6E725E7C46}"/>
            </c:ext>
          </c:extLst>
        </c:ser>
        <c:ser>
          <c:idx val="9"/>
          <c:order val="9"/>
          <c:tx>
            <c:strRef>
              <c:f>Tabulka!$A$16</c:f>
              <c:strCache>
                <c:ptCount val="1"/>
                <c:pt idx="0">
                  <c:v>K_T (ČVUT)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Tabulka!$B$16:$I$16</c:f>
              <c:numCache>
                <c:formatCode>0</c:formatCode>
                <c:ptCount val="8"/>
                <c:pt idx="0">
                  <c:v>146.01735001790638</c:v>
                </c:pt>
                <c:pt idx="1">
                  <c:v>75.225983565341323</c:v>
                </c:pt>
                <c:pt idx="2">
                  <c:v>129.04001379189094</c:v>
                </c:pt>
                <c:pt idx="3">
                  <c:v>13.073941124020793</c:v>
                </c:pt>
                <c:pt idx="4">
                  <c:v>11.416580705530563</c:v>
                </c:pt>
                <c:pt idx="5">
                  <c:v>136.04479028183721</c:v>
                </c:pt>
                <c:pt idx="6">
                  <c:v>112.09945595444981</c:v>
                </c:pt>
                <c:pt idx="7">
                  <c:v>156.53863603210374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1C6-4474-A1FD-9E6E725E7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5923784"/>
        <c:axId val="595925944"/>
      </c:barChart>
      <c:catAx>
        <c:axId val="595923784"/>
        <c:scaling>
          <c:orientation val="minMax"/>
        </c:scaling>
        <c:delete val="0"/>
        <c:axPos val="b"/>
        <c:numFmt formatCode="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5944"/>
        <c:crosses val="autoZero"/>
        <c:auto val="1"/>
        <c:lblAlgn val="ctr"/>
        <c:lblOffset val="100"/>
        <c:noMultiLvlLbl val="0"/>
      </c:catAx>
      <c:valAx>
        <c:axId val="59592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[g</a:t>
                </a:r>
                <a:r>
                  <a:rPr lang="cs-CZ" sz="1600"/>
                  <a:t>/</a:t>
                </a:r>
                <a:r>
                  <a:rPr lang="en-GB" sz="1600"/>
                  <a:t>h.m</a:t>
                </a:r>
                <a:r>
                  <a:rPr lang="cs-CZ" sz="1600"/>
                  <a:t>2</a:t>
                </a:r>
                <a:r>
                  <a:rPr lang="en-GB" sz="1600"/>
                  <a:t>]</a:t>
                </a:r>
                <a:endParaRPr lang="cs-CZ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3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Tabulka!$A$7</c:f>
              <c:strCache>
                <c:ptCount val="1"/>
                <c:pt idx="0">
                  <c:v>Měření [g/h∙m2]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Tabulka!$J$7:$Q$7</c:f>
              <c:numCache>
                <c:formatCode>0</c:formatCode>
                <c:ptCount val="8"/>
                <c:pt idx="0">
                  <c:v>25.6</c:v>
                </c:pt>
                <c:pt idx="1">
                  <c:v>90</c:v>
                </c:pt>
                <c:pt idx="2">
                  <c:v>175</c:v>
                </c:pt>
                <c:pt idx="3">
                  <c:v>40</c:v>
                </c:pt>
                <c:pt idx="4">
                  <c:v>402</c:v>
                </c:pt>
                <c:pt idx="5">
                  <c:v>153</c:v>
                </c:pt>
                <c:pt idx="6">
                  <c:v>246</c:v>
                </c:pt>
                <c:pt idx="7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AD-4317-A4C5-1AAA9E14C877}"/>
            </c:ext>
          </c:extLst>
        </c:ser>
        <c:ser>
          <c:idx val="1"/>
          <c:order val="1"/>
          <c:tx>
            <c:strRef>
              <c:f>Tabulka!$A$8</c:f>
              <c:strCache>
                <c:ptCount val="1"/>
                <c:pt idx="0">
                  <c:v>Chyský_pri_krit_tl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Tabulka!$J$8:$Q$8</c:f>
              <c:numCache>
                <c:formatCode>0</c:formatCode>
                <c:ptCount val="8"/>
                <c:pt idx="0">
                  <c:v>33.540189403644867</c:v>
                </c:pt>
                <c:pt idx="1">
                  <c:v>214.99374905515754</c:v>
                </c:pt>
                <c:pt idx="2">
                  <c:v>145.76116064244923</c:v>
                </c:pt>
                <c:pt idx="3">
                  <c:v>16.922022566903461</c:v>
                </c:pt>
                <c:pt idx="4">
                  <c:v>366.42160254450323</c:v>
                </c:pt>
                <c:pt idx="5">
                  <c:v>41.95183284921147</c:v>
                </c:pt>
                <c:pt idx="6">
                  <c:v>49.569581891246571</c:v>
                </c:pt>
                <c:pt idx="7">
                  <c:v>96.466182303876764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AD-4317-A4C5-1AAA9E14C877}"/>
            </c:ext>
          </c:extLst>
        </c:ser>
        <c:ser>
          <c:idx val="2"/>
          <c:order val="2"/>
          <c:tx>
            <c:strRef>
              <c:f>Tabulka!$A$9</c:f>
              <c:strCache>
                <c:ptCount val="1"/>
                <c:pt idx="0">
                  <c:v>VDI 2089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Tabulka!$J$9:$Q$9</c:f>
              <c:numCache>
                <c:formatCode>0</c:formatCode>
                <c:ptCount val="8"/>
                <c:pt idx="0">
                  <c:v>25.129720997011017</c:v>
                </c:pt>
                <c:pt idx="1">
                  <c:v>128.36154980773455</c:v>
                </c:pt>
                <c:pt idx="2">
                  <c:v>108.4480688178503</c:v>
                </c:pt>
                <c:pt idx="3">
                  <c:v>18.128624883525358</c:v>
                </c:pt>
                <c:pt idx="4">
                  <c:v>190.08869413172857</c:v>
                </c:pt>
                <c:pt idx="5">
                  <c:v>26.238500522227763</c:v>
                </c:pt>
                <c:pt idx="6">
                  <c:v>56.370651241673585</c:v>
                </c:pt>
                <c:pt idx="7">
                  <c:v>71.160082572883226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AD-4317-A4C5-1AAA9E14C877}"/>
            </c:ext>
          </c:extLst>
        </c:ser>
        <c:ser>
          <c:idx val="3"/>
          <c:order val="3"/>
          <c:tx>
            <c:strRef>
              <c:f>Tabulka!$A$10</c:f>
              <c:strCache>
                <c:ptCount val="1"/>
                <c:pt idx="0">
                  <c:v>Fiedler-Kaluza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Tabulka!$J$10:$Q$10</c:f>
              <c:numCache>
                <c:formatCode>0</c:formatCode>
                <c:ptCount val="8"/>
                <c:pt idx="0">
                  <c:v>24.16155613542821</c:v>
                </c:pt>
                <c:pt idx="1">
                  <c:v>124.50666534318013</c:v>
                </c:pt>
                <c:pt idx="2">
                  <c:v>104.40111372208234</c:v>
                </c:pt>
                <c:pt idx="3">
                  <c:v>17.164821386445542</c:v>
                </c:pt>
                <c:pt idx="4">
                  <c:v>183.75356288445596</c:v>
                </c:pt>
                <c:pt idx="5">
                  <c:v>25.880034655140459</c:v>
                </c:pt>
                <c:pt idx="6">
                  <c:v>54.476057710991121</c:v>
                </c:pt>
                <c:pt idx="7">
                  <c:v>68.9185666240828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AD-4317-A4C5-1AAA9E14C877}"/>
            </c:ext>
          </c:extLst>
        </c:ser>
        <c:ser>
          <c:idx val="4"/>
          <c:order val="4"/>
          <c:tx>
            <c:strRef>
              <c:f>Tabulka!$A$11</c:f>
              <c:strCache>
                <c:ptCount val="1"/>
                <c:pt idx="0">
                  <c:v>K_MV (ČVUT)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Tabulka!$J$11:$Q$11</c:f>
              <c:numCache>
                <c:formatCode>0</c:formatCode>
                <c:ptCount val="8"/>
                <c:pt idx="0">
                  <c:v>24.161556135428214</c:v>
                </c:pt>
                <c:pt idx="1">
                  <c:v>124.50666534318015</c:v>
                </c:pt>
                <c:pt idx="2">
                  <c:v>104.40111372208236</c:v>
                </c:pt>
                <c:pt idx="3">
                  <c:v>16.720903591968504</c:v>
                </c:pt>
                <c:pt idx="4">
                  <c:v>188.76502369039562</c:v>
                </c:pt>
                <c:pt idx="5">
                  <c:v>26.58585378209883</c:v>
                </c:pt>
                <c:pt idx="6">
                  <c:v>55.961768375836328</c:v>
                </c:pt>
                <c:pt idx="7">
                  <c:v>70.798163895648685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AD-4317-A4C5-1AAA9E14C877}"/>
            </c:ext>
          </c:extLst>
        </c:ser>
        <c:ser>
          <c:idx val="5"/>
          <c:order val="5"/>
          <c:tx>
            <c:strRef>
              <c:f>Tabulka!$A$12</c:f>
              <c:strCache>
                <c:ptCount val="1"/>
                <c:pt idx="0">
                  <c:v>ASH_Smedegard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Tabulka!$J$12:$Q$12</c:f>
              <c:numCache>
                <c:formatCode>0</c:formatCode>
                <c:ptCount val="8"/>
                <c:pt idx="0">
                  <c:v>37.606202361009196</c:v>
                </c:pt>
                <c:pt idx="1">
                  <c:v>192.57531341278803</c:v>
                </c:pt>
                <c:pt idx="2">
                  <c:v>163.38209718125316</c:v>
                </c:pt>
                <c:pt idx="3">
                  <c:v>26.454143692281569</c:v>
                </c:pt>
                <c:pt idx="4">
                  <c:v>287.62098080398562</c:v>
                </c:pt>
                <c:pt idx="5">
                  <c:v>40.334908359092289</c:v>
                </c:pt>
                <c:pt idx="6">
                  <c:v>85.435598739524437</c:v>
                </c:pt>
                <c:pt idx="7">
                  <c:v>108.45924185311991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AD-4317-A4C5-1AAA9E14C877}"/>
            </c:ext>
          </c:extLst>
        </c:ser>
        <c:ser>
          <c:idx val="6"/>
          <c:order val="6"/>
          <c:tx>
            <c:strRef>
              <c:f>Tabulka!$A$13</c:f>
              <c:strCache>
                <c:ptCount val="1"/>
                <c:pt idx="0">
                  <c:v>ASH_Carrier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Tabulka!$J$13:$Q$13</c:f>
              <c:numCache>
                <c:formatCode>0</c:formatCode>
                <c:ptCount val="8"/>
                <c:pt idx="0">
                  <c:v>52.432081545726462</c:v>
                </c:pt>
                <c:pt idx="1">
                  <c:v>268.49625600648307</c:v>
                </c:pt>
                <c:pt idx="2">
                  <c:v>227.7938984714165</c:v>
                </c:pt>
                <c:pt idx="3">
                  <c:v>36.88343231206423</c:v>
                </c:pt>
                <c:pt idx="4">
                  <c:v>401.01275249776921</c:v>
                </c:pt>
                <c:pt idx="5">
                  <c:v>56.236553319620491</c:v>
                </c:pt>
                <c:pt idx="6">
                  <c:v>119.11775182764023</c:v>
                </c:pt>
                <c:pt idx="7">
                  <c:v>151.21824210376991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9AD-4317-A4C5-1AAA9E14C877}"/>
            </c:ext>
          </c:extLst>
        </c:ser>
        <c:ser>
          <c:idx val="7"/>
          <c:order val="7"/>
          <c:tx>
            <c:strRef>
              <c:f>Tabulka!$A$14</c:f>
              <c:strCache>
                <c:ptCount val="1"/>
                <c:pt idx="0">
                  <c:v>ASH_Shah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Tabulka!$J$14:$Q$14</c:f>
              <c:numCache>
                <c:formatCode>0</c:formatCode>
                <c:ptCount val="8"/>
                <c:pt idx="0">
                  <c:v>24.892123112588113</c:v>
                </c:pt>
                <c:pt idx="1">
                  <c:v>212.00064238095098</c:v>
                </c:pt>
                <c:pt idx="2">
                  <c:v>38.249176195454403</c:v>
                </c:pt>
                <c:pt idx="3">
                  <c:v>9.8821250406217214</c:v>
                </c:pt>
                <c:pt idx="4">
                  <c:v>372.5114288063512</c:v>
                </c:pt>
                <c:pt idx="5">
                  <c:v>32.839838459305319</c:v>
                </c:pt>
                <c:pt idx="6">
                  <c:v>54.1644273325782</c:v>
                </c:pt>
                <c:pt idx="7">
                  <c:v>53.918401068616333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9AD-4317-A4C5-1AAA9E14C877}"/>
            </c:ext>
          </c:extLst>
        </c:ser>
        <c:ser>
          <c:idx val="8"/>
          <c:order val="8"/>
          <c:tx>
            <c:strRef>
              <c:f>Tabulka!$A$15</c:f>
              <c:strCache>
                <c:ptCount val="1"/>
                <c:pt idx="0">
                  <c:v>Jodat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Tabulka!$J$15:$Q$15</c:f>
              <c:numCache>
                <c:formatCode>0</c:formatCode>
                <c:ptCount val="8"/>
                <c:pt idx="0">
                  <c:v>19.387547493094999</c:v>
                </c:pt>
                <c:pt idx="1">
                  <c:v>183.77465542694401</c:v>
                </c:pt>
                <c:pt idx="2">
                  <c:v>146.54571452613649</c:v>
                </c:pt>
                <c:pt idx="3">
                  <c:v>11.944401922908947</c:v>
                </c:pt>
                <c:pt idx="4">
                  <c:v>319.29086078510545</c:v>
                </c:pt>
                <c:pt idx="5">
                  <c:v>21.350763612704309</c:v>
                </c:pt>
                <c:pt idx="6">
                  <c:v>60.014652103853521</c:v>
                </c:pt>
                <c:pt idx="7">
                  <c:v>83.359026023108513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9AD-4317-A4C5-1AAA9E14C877}"/>
            </c:ext>
          </c:extLst>
        </c:ser>
        <c:ser>
          <c:idx val="9"/>
          <c:order val="9"/>
          <c:tx>
            <c:strRef>
              <c:f>Tabulka!$A$16</c:f>
              <c:strCache>
                <c:ptCount val="1"/>
                <c:pt idx="0">
                  <c:v>K_T (ČVUT)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Tabulka!$J$16:$Q$16</c:f>
              <c:numCache>
                <c:formatCode>0</c:formatCode>
                <c:ptCount val="8"/>
                <c:pt idx="0">
                  <c:v>31.774516654743962</c:v>
                </c:pt>
                <c:pt idx="1">
                  <c:v>198.38921778275932</c:v>
                </c:pt>
                <c:pt idx="2">
                  <c:v>159.60951875351259</c:v>
                </c:pt>
                <c:pt idx="3">
                  <c:v>19.128468224002972</c:v>
                </c:pt>
                <c:pt idx="4">
                  <c:v>290.23389245829782</c:v>
                </c:pt>
                <c:pt idx="5">
                  <c:v>45.109282196014078</c:v>
                </c:pt>
                <c:pt idx="6">
                  <c:v>85.72496186983264</c:v>
                </c:pt>
                <c:pt idx="7">
                  <c:v>108.66929199495746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9AD-4317-A4C5-1AAA9E14C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5923784"/>
        <c:axId val="595925944"/>
      </c:barChart>
      <c:catAx>
        <c:axId val="595923784"/>
        <c:scaling>
          <c:orientation val="minMax"/>
        </c:scaling>
        <c:delete val="0"/>
        <c:axPos val="b"/>
        <c:numFmt formatCode="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5944"/>
        <c:crosses val="autoZero"/>
        <c:auto val="1"/>
        <c:lblAlgn val="ctr"/>
        <c:lblOffset val="100"/>
        <c:noMultiLvlLbl val="0"/>
      </c:catAx>
      <c:valAx>
        <c:axId val="59592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[g</a:t>
                </a:r>
                <a:r>
                  <a:rPr lang="cs-CZ" sz="1600"/>
                  <a:t>/</a:t>
                </a:r>
                <a:r>
                  <a:rPr lang="en-GB" sz="1600"/>
                  <a:t>h.m</a:t>
                </a:r>
                <a:r>
                  <a:rPr lang="cs-CZ" sz="1600"/>
                  <a:t>2</a:t>
                </a:r>
                <a:r>
                  <a:rPr lang="en-GB" sz="1600"/>
                  <a:t>]</a:t>
                </a:r>
                <a:endParaRPr lang="cs-CZ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95923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9894F05-66DC-4C50-85F6-7A75B7B5C6D0}">
  <sheetPr codeName="Graf3"/>
  <sheetViews>
    <sheetView tabSelected="1" zoomScale="88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C2E325D-D841-4CA9-A2B9-7C80771CA866}">
  <sheetPr codeName="Graf1"/>
  <sheetViews>
    <sheetView zoomScale="88" workbookViewId="0" zoomToFit="1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9ACB73E-BE7C-40DA-ABB3-BA4B01F9FAED}">
  <sheetPr codeName="Graf2"/>
  <sheetViews>
    <sheetView zoomScale="88" workbookViewId="0" zoomToFit="1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9D16E3B-481B-47DE-A7E1-C15F7B7421D4}">
  <sheetPr codeName="Graf4"/>
  <sheetViews>
    <sheetView zoomScale="88" workbookViewId="0" zoomToFit="1"/>
  </sheetViews>
  <pageMargins left="0.7" right="0.7" top="0.78740157499999996" bottom="0.78740157499999996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349250</xdr:colOff>
          <xdr:row>0</xdr:row>
          <xdr:rowOff>19050</xdr:rowOff>
        </xdr:from>
        <xdr:to>
          <xdr:col>0</xdr:col>
          <xdr:colOff>1739900</xdr:colOff>
          <xdr:row>0</xdr:row>
          <xdr:rowOff>355600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Aptos Narrow"/>
                </a:rPr>
                <a:t>Vypočti tabulku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88636" cy="9330170"/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29611289-5BAD-70BC-1AED-9CA0343D4E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2988636" cy="9330170"/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6F224932-B0DC-161D-23FA-A4FE24AA1F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88636" cy="9330170"/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C028A0E9-8DE0-680E-58A3-E23EE73888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88636" cy="9330170"/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2E71767C-D6BB-AD08-00A8-39B11E8E23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dpi.com/2073-4433/13/11/1765" TargetMode="External"/><Relationship Id="rId1" Type="http://schemas.openxmlformats.org/officeDocument/2006/relationships/hyperlink" Target="https://dspace.tul.cz/server/api/core/bitstreams/1a58f47e-5a2e-4ee6-9f19-0980522d896f/cont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59225-25AE-41C5-B2CE-9F3651AE628F}">
  <sheetPr codeName="List3"/>
  <dimension ref="A1:W16"/>
  <sheetViews>
    <sheetView workbookViewId="0">
      <pane xSplit="1" topLeftCell="B1" activePane="topRight" state="frozen"/>
      <selection pane="topRight" activeCell="R1" sqref="R1:W16"/>
    </sheetView>
  </sheetViews>
  <sheetFormatPr defaultRowHeight="14.5" x14ac:dyDescent="0.35"/>
  <cols>
    <col min="1" max="1" width="29.453125" customWidth="1"/>
    <col min="2" max="2" width="8.90625" customWidth="1"/>
    <col min="3" max="3" width="8.81640625" customWidth="1"/>
    <col min="4" max="4" width="8.7265625" customWidth="1"/>
    <col min="5" max="5" width="9.1796875" customWidth="1"/>
    <col min="6" max="6" width="12.453125" customWidth="1"/>
    <col min="7" max="7" width="14.453125" customWidth="1"/>
    <col min="8" max="8" width="8.81640625" customWidth="1"/>
    <col min="9" max="9" width="9" customWidth="1"/>
    <col min="10" max="10" width="8.453125" customWidth="1"/>
    <col min="11" max="11" width="8.7265625" customWidth="1"/>
    <col min="12" max="12" width="7.453125" customWidth="1"/>
    <col min="13" max="13" width="8.08984375" customWidth="1"/>
    <col min="14" max="14" width="13.1796875" customWidth="1"/>
    <col min="15" max="15" width="14.08984375" customWidth="1"/>
    <col min="16" max="16" width="9.453125" customWidth="1"/>
    <col min="17" max="20" width="10.36328125" bestFit="1" customWidth="1"/>
  </cols>
  <sheetData>
    <row r="1" spans="1:23" ht="32.5" customHeight="1" x14ac:dyDescent="0.35">
      <c r="A1" s="7"/>
      <c r="B1" s="12" t="s">
        <v>41</v>
      </c>
      <c r="C1" s="13" t="s">
        <v>42</v>
      </c>
      <c r="D1" s="13" t="s">
        <v>43</v>
      </c>
      <c r="E1" s="13" t="s">
        <v>44</v>
      </c>
      <c r="F1" s="13" t="s">
        <v>45</v>
      </c>
      <c r="G1" s="13" t="s">
        <v>46</v>
      </c>
      <c r="H1" s="13" t="s">
        <v>47</v>
      </c>
      <c r="I1" s="13" t="s">
        <v>48</v>
      </c>
      <c r="J1" s="13" t="s">
        <v>49</v>
      </c>
      <c r="K1" s="14" t="s">
        <v>50</v>
      </c>
      <c r="L1" s="13" t="s">
        <v>51</v>
      </c>
      <c r="M1" s="13" t="s">
        <v>52</v>
      </c>
      <c r="N1" s="13" t="s">
        <v>53</v>
      </c>
      <c r="O1" s="13" t="s">
        <v>54</v>
      </c>
      <c r="P1" s="14" t="s">
        <v>55</v>
      </c>
      <c r="Q1" s="13" t="s">
        <v>56</v>
      </c>
      <c r="R1" s="13" t="s">
        <v>68</v>
      </c>
      <c r="S1" s="14" t="s">
        <v>69</v>
      </c>
      <c r="T1" s="14" t="s">
        <v>70</v>
      </c>
      <c r="U1" s="13" t="s">
        <v>68</v>
      </c>
      <c r="V1" s="14" t="s">
        <v>69</v>
      </c>
      <c r="W1" s="14" t="s">
        <v>70</v>
      </c>
    </row>
    <row r="2" spans="1:23" x14ac:dyDescent="0.35">
      <c r="A2" s="8" t="s">
        <v>38</v>
      </c>
      <c r="B2" s="6">
        <v>28.5</v>
      </c>
      <c r="C2" s="3">
        <v>27</v>
      </c>
      <c r="D2" s="3">
        <v>18.7</v>
      </c>
      <c r="E2" s="3">
        <v>6.1</v>
      </c>
      <c r="F2" s="3">
        <v>21.7</v>
      </c>
      <c r="G2" s="3">
        <v>24.3</v>
      </c>
      <c r="H2" s="3">
        <v>31</v>
      </c>
      <c r="I2" s="3">
        <v>20</v>
      </c>
      <c r="J2" s="3">
        <v>25.5</v>
      </c>
      <c r="K2" s="3">
        <v>21.7</v>
      </c>
      <c r="L2" s="3">
        <v>27.5</v>
      </c>
      <c r="M2" s="3">
        <v>17.2</v>
      </c>
      <c r="N2" s="3">
        <v>21.7</v>
      </c>
      <c r="O2" s="3">
        <v>34.6</v>
      </c>
      <c r="P2" s="3">
        <v>27.8</v>
      </c>
      <c r="Q2" s="3">
        <v>31</v>
      </c>
      <c r="R2" s="3">
        <v>24</v>
      </c>
      <c r="S2" s="3">
        <v>24</v>
      </c>
      <c r="T2" s="3">
        <v>24</v>
      </c>
      <c r="U2" s="3">
        <v>24</v>
      </c>
      <c r="V2" s="3">
        <v>24</v>
      </c>
      <c r="W2" s="3">
        <v>24</v>
      </c>
    </row>
    <row r="3" spans="1:23" x14ac:dyDescent="0.35">
      <c r="A3" s="8" t="s">
        <v>39</v>
      </c>
      <c r="B3" s="6">
        <v>26.1</v>
      </c>
      <c r="C3" s="3">
        <v>25</v>
      </c>
      <c r="D3" s="3">
        <v>24</v>
      </c>
      <c r="E3" s="3">
        <v>7.1</v>
      </c>
      <c r="F3" s="3">
        <v>13.9</v>
      </c>
      <c r="G3" s="3">
        <v>24.3</v>
      </c>
      <c r="H3" s="3">
        <v>28.5</v>
      </c>
      <c r="I3" s="3">
        <v>25</v>
      </c>
      <c r="J3" s="3">
        <v>23</v>
      </c>
      <c r="K3" s="3">
        <v>28.3</v>
      </c>
      <c r="L3" s="3">
        <v>25</v>
      </c>
      <c r="M3" s="3">
        <v>16.5</v>
      </c>
      <c r="N3" s="3">
        <v>33.4</v>
      </c>
      <c r="O3" s="3">
        <v>30.1</v>
      </c>
      <c r="P3" s="3">
        <v>28.3</v>
      </c>
      <c r="Q3" s="3">
        <v>28.5</v>
      </c>
      <c r="R3" s="3">
        <v>26</v>
      </c>
      <c r="S3" s="3">
        <v>28</v>
      </c>
      <c r="T3" s="3">
        <v>34</v>
      </c>
      <c r="U3" s="3">
        <v>26</v>
      </c>
      <c r="V3" s="3">
        <v>28</v>
      </c>
      <c r="W3" s="3">
        <v>34</v>
      </c>
    </row>
    <row r="4" spans="1:23" x14ac:dyDescent="0.35">
      <c r="A4" s="8" t="s">
        <v>57</v>
      </c>
      <c r="B4" s="6">
        <v>37</v>
      </c>
      <c r="C4" s="3">
        <v>60</v>
      </c>
      <c r="D4" s="3">
        <v>64</v>
      </c>
      <c r="E4" s="3">
        <v>69</v>
      </c>
      <c r="F4" s="3">
        <v>53</v>
      </c>
      <c r="G4" s="3">
        <v>40</v>
      </c>
      <c r="H4" s="3">
        <v>54</v>
      </c>
      <c r="I4" s="3">
        <v>50</v>
      </c>
      <c r="J4" s="3">
        <v>71</v>
      </c>
      <c r="K4" s="3">
        <v>51</v>
      </c>
      <c r="L4" s="3">
        <v>28</v>
      </c>
      <c r="M4" s="3">
        <v>78</v>
      </c>
      <c r="N4" s="3">
        <v>53</v>
      </c>
      <c r="O4" s="3">
        <v>68</v>
      </c>
      <c r="P4" s="3">
        <v>73</v>
      </c>
      <c r="Q4" s="3">
        <v>55</v>
      </c>
      <c r="R4" s="3">
        <v>80</v>
      </c>
      <c r="S4" s="3">
        <v>80</v>
      </c>
      <c r="T4" s="3">
        <v>80</v>
      </c>
      <c r="U4" s="3">
        <v>90</v>
      </c>
      <c r="V4" s="3">
        <v>90</v>
      </c>
      <c r="W4" s="3">
        <v>90</v>
      </c>
    </row>
    <row r="5" spans="1:23" x14ac:dyDescent="0.35">
      <c r="A5" s="8" t="s">
        <v>67</v>
      </c>
      <c r="B5" s="21">
        <f>SQRT((1.32*(10^(-5))*(((B3+273.15)/273.15)^(3/2))*(1+0.15*(1)))/((2.5*10^(-5))*(((B3+273.15)/273.15)^(1.75))*(101325/101325)))</f>
        <v>0.77039199623912058</v>
      </c>
      <c r="C5" s="21">
        <f t="shared" ref="C5:T5" si="0">SQRT((1.32*(10^(-5))*(((C3+273.15)/273.15)^(3/2))*(1+0.15*(1)))/((2.5*10^(-5))*(((C3+273.15)/273.15)^(1.75))*(101325/101325)))</f>
        <v>0.77074671135133543</v>
      </c>
      <c r="D5" s="21">
        <f t="shared" si="0"/>
        <v>0.77107045958720832</v>
      </c>
      <c r="E5" s="21">
        <f t="shared" si="0"/>
        <v>0.77673491827891383</v>
      </c>
      <c r="F5" s="21">
        <f t="shared" si="0"/>
        <v>0.77441068783758349</v>
      </c>
      <c r="G5" s="21">
        <f t="shared" si="0"/>
        <v>0.77097320657289414</v>
      </c>
      <c r="H5" s="21">
        <f t="shared" si="0"/>
        <v>0.76962313792902426</v>
      </c>
      <c r="I5" s="21">
        <f t="shared" si="0"/>
        <v>0.77074671135133543</v>
      </c>
      <c r="J5" s="21">
        <f t="shared" si="0"/>
        <v>0.77139543584990544</v>
      </c>
      <c r="K5" s="21">
        <f t="shared" si="0"/>
        <v>0.7696869461755691</v>
      </c>
      <c r="L5" s="21">
        <f t="shared" si="0"/>
        <v>0.77074671135133543</v>
      </c>
      <c r="M5" s="21">
        <f t="shared" si="0"/>
        <v>0.7735383334293785</v>
      </c>
      <c r="N5" s="21">
        <f t="shared" si="0"/>
        <v>0.76807453568443718</v>
      </c>
      <c r="O5" s="21">
        <f t="shared" si="0"/>
        <v>0.76911437910954716</v>
      </c>
      <c r="P5" s="21">
        <f t="shared" si="0"/>
        <v>0.7696869461755691</v>
      </c>
      <c r="Q5" s="21">
        <f t="shared" si="0"/>
        <v>0.76962313792902426</v>
      </c>
      <c r="R5" s="21">
        <f t="shared" si="0"/>
        <v>0.77042418240624888</v>
      </c>
      <c r="S5" s="21">
        <f t="shared" si="0"/>
        <v>0.76978274789847434</v>
      </c>
      <c r="T5" s="21">
        <f t="shared" si="0"/>
        <v>0.76788682648076645</v>
      </c>
      <c r="U5" s="21">
        <f t="shared" ref="U5:W5" si="1">SQRT((1.32*(10^(-5))*(((U3+273.15)/273.15)^(3/2))*(1+0.15*(1)))/((2.5*10^(-5))*(((U3+273.15)/273.15)^(1.75))*(101325/101325)))</f>
        <v>0.77042418240624888</v>
      </c>
      <c r="V5" s="21">
        <f t="shared" si="1"/>
        <v>0.76978274789847434</v>
      </c>
      <c r="W5" s="21">
        <f t="shared" si="1"/>
        <v>0.76788682648076645</v>
      </c>
    </row>
    <row r="6" spans="1:23" ht="15" thickBot="1" x14ac:dyDescent="0.4">
      <c r="A6" s="8" t="s">
        <v>40</v>
      </c>
      <c r="B6" s="15">
        <v>418</v>
      </c>
      <c r="C6" s="5">
        <v>32</v>
      </c>
      <c r="D6" s="16">
        <v>7.2999999999999995E-2</v>
      </c>
      <c r="E6" s="16">
        <v>0.83699999999999997</v>
      </c>
      <c r="F6" s="16">
        <v>7.2999999999999995E-2</v>
      </c>
      <c r="G6" s="17">
        <v>62.2</v>
      </c>
      <c r="H6" s="18">
        <v>200</v>
      </c>
      <c r="I6" s="19">
        <v>1.1299999999999999</v>
      </c>
      <c r="J6" s="18">
        <v>1</v>
      </c>
      <c r="K6" s="18">
        <v>404</v>
      </c>
      <c r="L6" s="18">
        <v>425</v>
      </c>
      <c r="M6" s="16">
        <v>0.83699999999999997</v>
      </c>
      <c r="N6" s="16">
        <v>7.2999999999999995E-2</v>
      </c>
      <c r="O6" s="17">
        <v>62.2</v>
      </c>
      <c r="P6" s="18">
        <v>404</v>
      </c>
      <c r="Q6" s="18">
        <v>200</v>
      </c>
      <c r="R6" s="18">
        <v>313</v>
      </c>
      <c r="S6" s="18">
        <v>313</v>
      </c>
      <c r="T6" s="18">
        <v>30</v>
      </c>
      <c r="U6" s="18">
        <v>313</v>
      </c>
      <c r="V6" s="18">
        <v>313</v>
      </c>
      <c r="W6" s="18">
        <v>30</v>
      </c>
    </row>
    <row r="7" spans="1:23" x14ac:dyDescent="0.35">
      <c r="A7" s="9" t="s">
        <v>121</v>
      </c>
      <c r="B7" s="53">
        <f>0.125*1000</f>
        <v>125</v>
      </c>
      <c r="C7" s="62">
        <f>0.052*1000</f>
        <v>52</v>
      </c>
      <c r="D7" s="63">
        <f>0.082*1000</f>
        <v>82</v>
      </c>
      <c r="E7" s="63">
        <f>0.01*1000</f>
        <v>10</v>
      </c>
      <c r="F7" s="63">
        <f>0.018*1000</f>
        <v>18</v>
      </c>
      <c r="G7" s="63">
        <f>0.03*1000</f>
        <v>30</v>
      </c>
      <c r="H7" s="63">
        <f>0.07*1000</f>
        <v>70</v>
      </c>
      <c r="I7" s="63">
        <f>0.168*1000</f>
        <v>168</v>
      </c>
      <c r="J7" s="63">
        <f>0.0256*1000</f>
        <v>25.6</v>
      </c>
      <c r="K7" s="63">
        <f>0.09*1000</f>
        <v>90</v>
      </c>
      <c r="L7" s="63">
        <f>0.175*1000</f>
        <v>175</v>
      </c>
      <c r="M7" s="63">
        <f>0.04*1000</f>
        <v>40</v>
      </c>
      <c r="N7" s="63">
        <f>0.402*1000</f>
        <v>402</v>
      </c>
      <c r="O7" s="63">
        <f>0.153*1000</f>
        <v>153</v>
      </c>
      <c r="P7" s="63">
        <f>0.246*1000</f>
        <v>246</v>
      </c>
      <c r="Q7" s="63">
        <f>0.235*1000</f>
        <v>235</v>
      </c>
      <c r="R7" s="63"/>
      <c r="S7" s="63"/>
      <c r="T7" s="63"/>
      <c r="U7" s="63"/>
      <c r="V7" s="63"/>
      <c r="W7" s="63"/>
    </row>
    <row r="8" spans="1:23" x14ac:dyDescent="0.35">
      <c r="A8" s="10" t="s">
        <v>71</v>
      </c>
      <c r="B8" s="55">
        <v>130.7003984007215</v>
      </c>
      <c r="C8" s="55">
        <v>65.952111068697491</v>
      </c>
      <c r="D8" s="55">
        <v>129.8286130538404</v>
      </c>
      <c r="E8" s="55">
        <v>19.241351323486928</v>
      </c>
      <c r="F8" s="55">
        <v>19.84832903321626</v>
      </c>
      <c r="G8" s="55">
        <v>0</v>
      </c>
      <c r="H8" s="55">
        <v>99.520996846492494</v>
      </c>
      <c r="I8" s="55">
        <v>159.47563910885205</v>
      </c>
      <c r="J8" s="55">
        <v>33.540189403644867</v>
      </c>
      <c r="K8" s="55">
        <v>214.99374905515754</v>
      </c>
      <c r="L8" s="55">
        <v>145.76116064244923</v>
      </c>
      <c r="M8" s="55">
        <v>16.922022566903461</v>
      </c>
      <c r="N8" s="55">
        <v>366.42160254450323</v>
      </c>
      <c r="O8" s="55">
        <v>41.95183284921147</v>
      </c>
      <c r="P8" s="55">
        <v>49.569581891246571</v>
      </c>
      <c r="Q8" s="55">
        <v>96.466182303876764</v>
      </c>
      <c r="R8" s="55">
        <v>61.699409501996385</v>
      </c>
      <c r="S8" s="55">
        <v>104.90758248633443</v>
      </c>
      <c r="T8" s="55">
        <v>274.71111044386208</v>
      </c>
      <c r="U8" s="55">
        <v>42.788829416375314</v>
      </c>
      <c r="V8" s="55">
        <v>82.403822792116188</v>
      </c>
      <c r="W8" s="55">
        <v>246.66965495609469</v>
      </c>
    </row>
    <row r="9" spans="1:23" x14ac:dyDescent="0.35">
      <c r="A9" s="10" t="s">
        <v>62</v>
      </c>
      <c r="B9" s="55">
        <v>98.055416276260161</v>
      </c>
      <c r="C9" s="55">
        <v>52.175293442130581</v>
      </c>
      <c r="D9" s="55">
        <v>82.626581208338436</v>
      </c>
      <c r="E9" s="55">
        <v>19.471607140331635</v>
      </c>
      <c r="F9" s="55">
        <v>11.07234857014461</v>
      </c>
      <c r="G9" s="55">
        <v>92.987775644503273</v>
      </c>
      <c r="H9" s="55">
        <v>73.410295280510255</v>
      </c>
      <c r="I9" s="55">
        <v>102.57290288489175</v>
      </c>
      <c r="J9" s="55">
        <v>25.129720997011017</v>
      </c>
      <c r="K9" s="55">
        <v>128.36154980773455</v>
      </c>
      <c r="L9" s="55">
        <v>108.4480688178503</v>
      </c>
      <c r="M9" s="55">
        <v>18.128624883525358</v>
      </c>
      <c r="N9" s="55">
        <v>190.08869413172857</v>
      </c>
      <c r="O9" s="55">
        <v>26.238500522227763</v>
      </c>
      <c r="P9" s="55">
        <v>56.370651241673585</v>
      </c>
      <c r="Q9" s="55">
        <v>71.160082572883226</v>
      </c>
      <c r="R9" s="55">
        <v>49.580128678138728</v>
      </c>
      <c r="S9" s="55">
        <v>70.632867218303375</v>
      </c>
      <c r="T9" s="55">
        <v>147.18043003391384</v>
      </c>
      <c r="U9" s="55">
        <v>34.394100671788358</v>
      </c>
      <c r="V9" s="55">
        <v>55.497603136426839</v>
      </c>
      <c r="W9" s="55">
        <v>132.19544161725534</v>
      </c>
    </row>
    <row r="10" spans="1:23" x14ac:dyDescent="0.35">
      <c r="A10" s="10" t="s">
        <v>63</v>
      </c>
      <c r="B10" s="55">
        <v>95.319789852700566</v>
      </c>
      <c r="C10" s="55">
        <v>50.687964423994458</v>
      </c>
      <c r="D10" s="55">
        <v>80.552671147016653</v>
      </c>
      <c r="E10" s="55">
        <v>17.461333619811754</v>
      </c>
      <c r="F10" s="55">
        <v>10.315780970378986</v>
      </c>
      <c r="G10" s="55">
        <v>88.992427531444903</v>
      </c>
      <c r="H10" s="55">
        <v>71.070598816343718</v>
      </c>
      <c r="I10" s="55">
        <v>97.751601404347284</v>
      </c>
      <c r="J10" s="55">
        <v>24.16155613542821</v>
      </c>
      <c r="K10" s="55">
        <v>124.50666534318013</v>
      </c>
      <c r="L10" s="55">
        <v>104.40111372208234</v>
      </c>
      <c r="M10" s="55">
        <v>17.164821386445542</v>
      </c>
      <c r="N10" s="55">
        <v>183.75356288445596</v>
      </c>
      <c r="O10" s="55">
        <v>25.880034655140459</v>
      </c>
      <c r="P10" s="55">
        <v>54.476057710991121</v>
      </c>
      <c r="Q10" s="55">
        <v>68.9185666240828</v>
      </c>
      <c r="R10" s="55">
        <v>48.346022593605916</v>
      </c>
      <c r="S10" s="55">
        <v>69.466016716358766</v>
      </c>
      <c r="T10" s="55">
        <v>144.79257572786452</v>
      </c>
      <c r="U10" s="55">
        <v>33.663954221616429</v>
      </c>
      <c r="V10" s="55">
        <v>54.783948344369279</v>
      </c>
      <c r="W10" s="55">
        <v>130.50029678168005</v>
      </c>
    </row>
    <row r="11" spans="1:23" x14ac:dyDescent="0.35">
      <c r="A11" s="10" t="s">
        <v>126</v>
      </c>
      <c r="B11" s="55">
        <v>95.31978985270058</v>
      </c>
      <c r="C11" s="55">
        <v>50.687964423994465</v>
      </c>
      <c r="D11" s="55">
        <v>78.469412410455874</v>
      </c>
      <c r="E11" s="55">
        <v>17.009747405506278</v>
      </c>
      <c r="F11" s="55">
        <v>10.048993531489876</v>
      </c>
      <c r="G11" s="55">
        <v>88.992427531444903</v>
      </c>
      <c r="H11" s="55">
        <v>73.008887874971265</v>
      </c>
      <c r="I11" s="55">
        <v>97.751601404347284</v>
      </c>
      <c r="J11" s="55">
        <v>24.161556135428214</v>
      </c>
      <c r="K11" s="55">
        <v>124.50666534318015</v>
      </c>
      <c r="L11" s="55">
        <v>104.40111372208236</v>
      </c>
      <c r="M11" s="55">
        <v>16.720903591968504</v>
      </c>
      <c r="N11" s="55">
        <v>188.76502369039562</v>
      </c>
      <c r="O11" s="55">
        <v>26.58585378209883</v>
      </c>
      <c r="P11" s="55">
        <v>55.961768375836328</v>
      </c>
      <c r="Q11" s="55">
        <v>70.798163895648685</v>
      </c>
      <c r="R11" s="55">
        <v>48.346022593605923</v>
      </c>
      <c r="S11" s="55">
        <v>69.46601671635878</v>
      </c>
      <c r="T11" s="55">
        <v>148.74146415680625</v>
      </c>
      <c r="U11" s="55">
        <v>33.663954221616429</v>
      </c>
      <c r="V11" s="55">
        <v>54.783948344369286</v>
      </c>
      <c r="W11" s="55">
        <v>134.05939578481676</v>
      </c>
    </row>
    <row r="12" spans="1:23" x14ac:dyDescent="0.35">
      <c r="A12" s="10" t="s">
        <v>109</v>
      </c>
      <c r="B12" s="55">
        <v>148.2431530879644</v>
      </c>
      <c r="C12" s="55">
        <v>78.538889286772957</v>
      </c>
      <c r="D12" s="55">
        <v>122.44355500373538</v>
      </c>
      <c r="E12" s="55">
        <v>27.409602759843047</v>
      </c>
      <c r="F12" s="55">
        <v>16.210221850509008</v>
      </c>
      <c r="G12" s="55">
        <v>139.17802840639305</v>
      </c>
      <c r="H12" s="55">
        <v>111.88892258778623</v>
      </c>
      <c r="I12" s="55">
        <v>152.59537734368368</v>
      </c>
      <c r="J12" s="55">
        <v>37.606202361009196</v>
      </c>
      <c r="K12" s="55">
        <v>192.57531341278803</v>
      </c>
      <c r="L12" s="55">
        <v>163.38209718125316</v>
      </c>
      <c r="M12" s="55">
        <v>26.454143692281569</v>
      </c>
      <c r="N12" s="55">
        <v>287.62098080398562</v>
      </c>
      <c r="O12" s="55">
        <v>40.334908359092289</v>
      </c>
      <c r="P12" s="55">
        <v>85.435598739524437</v>
      </c>
      <c r="Q12" s="55">
        <v>108.45924185311991</v>
      </c>
      <c r="R12" s="55">
        <v>74.38293502641713</v>
      </c>
      <c r="S12" s="55">
        <v>106.32286993495316</v>
      </c>
      <c r="T12" s="55">
        <v>223.77085112394448</v>
      </c>
      <c r="U12" s="55">
        <v>51.599990233380034</v>
      </c>
      <c r="V12" s="55">
        <v>83.539925141916044</v>
      </c>
      <c r="W12" s="55">
        <v>200.98790633090735</v>
      </c>
    </row>
    <row r="13" spans="1:23" x14ac:dyDescent="0.35">
      <c r="A13" s="10" t="s">
        <v>110</v>
      </c>
      <c r="B13" s="55">
        <v>206.68657304686099</v>
      </c>
      <c r="C13" s="55">
        <v>109.5020818125586</v>
      </c>
      <c r="D13" s="55">
        <v>170.71573457682723</v>
      </c>
      <c r="E13" s="55">
        <v>38.215571815624642</v>
      </c>
      <c r="F13" s="55">
        <v>22.600944008678592</v>
      </c>
      <c r="G13" s="55">
        <v>194.04761120850395</v>
      </c>
      <c r="H13" s="55">
        <v>156.00004108016108</v>
      </c>
      <c r="I13" s="55">
        <v>212.75461934652566</v>
      </c>
      <c r="J13" s="55">
        <v>52.432081545726462</v>
      </c>
      <c r="K13" s="55">
        <v>268.49625600648307</v>
      </c>
      <c r="L13" s="55">
        <v>227.7938984714165</v>
      </c>
      <c r="M13" s="55">
        <v>36.88343231206423</v>
      </c>
      <c r="N13" s="55">
        <v>401.01275249776921</v>
      </c>
      <c r="O13" s="55">
        <v>56.236553319620491</v>
      </c>
      <c r="P13" s="55">
        <v>119.11775182764023</v>
      </c>
      <c r="Q13" s="55">
        <v>151.21824210376991</v>
      </c>
      <c r="R13" s="55">
        <v>103.70768304324244</v>
      </c>
      <c r="S13" s="55">
        <v>148.23962635443124</v>
      </c>
      <c r="T13" s="55">
        <v>311.99033077192684</v>
      </c>
      <c r="U13" s="55">
        <v>71.942784057354814</v>
      </c>
      <c r="V13" s="55">
        <v>116.47472736854363</v>
      </c>
      <c r="W13" s="55">
        <v>280.22543178603928</v>
      </c>
    </row>
    <row r="14" spans="1:23" x14ac:dyDescent="0.35">
      <c r="A14" s="10" t="s">
        <v>129</v>
      </c>
      <c r="B14" s="55">
        <v>45.392161666566494</v>
      </c>
      <c r="C14" s="55">
        <v>38.982725632811515</v>
      </c>
      <c r="D14" s="55">
        <v>124.6435782780071</v>
      </c>
      <c r="E14" s="55">
        <v>17.331663565089109</v>
      </c>
      <c r="F14" s="55">
        <v>17.140466581678822</v>
      </c>
      <c r="G14" s="55">
        <v>92.641006687751386</v>
      </c>
      <c r="H14" s="55">
        <v>54.497009396951896</v>
      </c>
      <c r="I14" s="55">
        <v>155.29843139242661</v>
      </c>
      <c r="J14" s="55">
        <v>24.892123112588113</v>
      </c>
      <c r="K14" s="55">
        <v>212.00064238095098</v>
      </c>
      <c r="L14" s="55">
        <v>38.249176195454403</v>
      </c>
      <c r="M14" s="55">
        <v>9.8821250406217214</v>
      </c>
      <c r="N14" s="55">
        <v>372.5114288063512</v>
      </c>
      <c r="O14" s="55">
        <v>32.839838459305319</v>
      </c>
      <c r="P14" s="55">
        <v>54.1644273325782</v>
      </c>
      <c r="Q14" s="55">
        <v>53.918401068616333</v>
      </c>
      <c r="R14" s="55">
        <v>57.298770497121758</v>
      </c>
      <c r="S14" s="55">
        <v>99.083545455661621</v>
      </c>
      <c r="T14" s="55">
        <v>274.65374922268035</v>
      </c>
      <c r="U14" s="55">
        <v>38.395617644819097</v>
      </c>
      <c r="V14" s="55">
        <v>76.522912429127373</v>
      </c>
      <c r="W14" s="55">
        <v>245.38018377657249</v>
      </c>
    </row>
    <row r="15" spans="1:23" x14ac:dyDescent="0.35">
      <c r="A15" s="10" t="s">
        <v>118</v>
      </c>
      <c r="B15" s="55">
        <v>128.1807053171157</v>
      </c>
      <c r="C15" s="55">
        <v>53.446870437183577</v>
      </c>
      <c r="D15" s="55">
        <v>98.509553051247437</v>
      </c>
      <c r="E15" s="55">
        <v>12.54245777336131</v>
      </c>
      <c r="F15" s="55">
        <v>6.0851315101544783</v>
      </c>
      <c r="G15" s="55">
        <v>117.51340191522003</v>
      </c>
      <c r="H15" s="55">
        <v>87.010246322840942</v>
      </c>
      <c r="I15" s="55">
        <v>133.39116002432587</v>
      </c>
      <c r="J15" s="55">
        <v>19.387547493094999</v>
      </c>
      <c r="K15" s="55">
        <v>183.77465542694401</v>
      </c>
      <c r="L15" s="55">
        <v>146.54571452613649</v>
      </c>
      <c r="M15" s="55">
        <v>11.944401922908947</v>
      </c>
      <c r="N15" s="55">
        <v>319.29086078510545</v>
      </c>
      <c r="O15" s="55">
        <v>21.350763612704309</v>
      </c>
      <c r="P15" s="55">
        <v>60.014652103853521</v>
      </c>
      <c r="Q15" s="55">
        <v>83.359026023108513</v>
      </c>
      <c r="R15" s="55">
        <v>49.591737172529498</v>
      </c>
      <c r="S15" s="55">
        <v>81.106474829756309</v>
      </c>
      <c r="T15" s="55">
        <v>225.98000347029145</v>
      </c>
      <c r="U15" s="55">
        <v>29.971542763169939</v>
      </c>
      <c r="V15" s="55">
        <v>58.18870917453691</v>
      </c>
      <c r="W15" s="55">
        <v>194.9196222079533</v>
      </c>
    </row>
    <row r="16" spans="1:23" ht="15" thickBot="1" x14ac:dyDescent="0.4">
      <c r="A16" s="11" t="s">
        <v>125</v>
      </c>
      <c r="B16" s="55">
        <v>146.01735001790638</v>
      </c>
      <c r="C16" s="55">
        <v>75.225983565341323</v>
      </c>
      <c r="D16" s="55">
        <v>129.04001379189094</v>
      </c>
      <c r="E16" s="55">
        <v>13.073941124020793</v>
      </c>
      <c r="F16" s="55">
        <v>11.416580705530563</v>
      </c>
      <c r="G16" s="55">
        <v>136.04479028183721</v>
      </c>
      <c r="H16" s="55">
        <v>112.09945595444981</v>
      </c>
      <c r="I16" s="55">
        <v>156.53863603210374</v>
      </c>
      <c r="J16" s="55">
        <v>31.774516654743962</v>
      </c>
      <c r="K16" s="55">
        <v>198.38921778275932</v>
      </c>
      <c r="L16" s="55">
        <v>159.60951875351259</v>
      </c>
      <c r="M16" s="55">
        <v>19.128468224002972</v>
      </c>
      <c r="N16" s="55">
        <v>290.23389245829782</v>
      </c>
      <c r="O16" s="55">
        <v>45.109282196014078</v>
      </c>
      <c r="P16" s="55">
        <v>85.72496186983264</v>
      </c>
      <c r="Q16" s="55">
        <v>108.66929199495746</v>
      </c>
      <c r="R16" s="55">
        <v>76.760931609854623</v>
      </c>
      <c r="S16" s="55">
        <v>110.91266066235153</v>
      </c>
      <c r="T16" s="55">
        <v>223.73907322717332</v>
      </c>
      <c r="U16" s="55">
        <v>54.560617927871647</v>
      </c>
      <c r="V16" s="55">
        <v>88.712346980368551</v>
      </c>
      <c r="W16" s="55">
        <v>201.53875954519035</v>
      </c>
    </row>
  </sheetData>
  <phoneticPr fontId="5" type="noConversion"/>
  <conditionalFormatting sqref="S7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V7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ypocti_tabulku">
                <anchor moveWithCells="1">
                  <from>
                    <xdr:col>0</xdr:col>
                    <xdr:colOff>349250</xdr:colOff>
                    <xdr:row>0</xdr:row>
                    <xdr:rowOff>19050</xdr:rowOff>
                  </from>
                  <to>
                    <xdr:col>0</xdr:col>
                    <xdr:colOff>1739900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4F2E-23C7-45B7-8AC2-49BA3A9B4807}">
  <sheetPr codeName="List4"/>
  <dimension ref="A1:G10"/>
  <sheetViews>
    <sheetView workbookViewId="0">
      <selection activeCell="A10" sqref="A10"/>
    </sheetView>
  </sheetViews>
  <sheetFormatPr defaultRowHeight="14.5" x14ac:dyDescent="0.35"/>
  <sheetData>
    <row r="1" spans="1:7" ht="18.5" x14ac:dyDescent="0.45">
      <c r="A1" s="68" t="s">
        <v>119</v>
      </c>
      <c r="B1" s="68"/>
      <c r="C1" s="68"/>
      <c r="D1" s="68"/>
      <c r="E1" s="68"/>
      <c r="F1" s="68"/>
    </row>
    <row r="2" spans="1:7" x14ac:dyDescent="0.35">
      <c r="E2" s="1"/>
    </row>
    <row r="3" spans="1:7" x14ac:dyDescent="0.35">
      <c r="A3" s="28" t="s">
        <v>131</v>
      </c>
      <c r="B3" s="33">
        <v>24</v>
      </c>
      <c r="C3" s="24" t="s">
        <v>0</v>
      </c>
      <c r="D3" s="65" t="s">
        <v>11</v>
      </c>
      <c r="E3" s="65"/>
      <c r="F3" s="65"/>
      <c r="G3" s="65"/>
    </row>
    <row r="4" spans="1:7" x14ac:dyDescent="0.35">
      <c r="A4" s="29" t="s">
        <v>130</v>
      </c>
      <c r="B4" s="34">
        <v>34</v>
      </c>
      <c r="C4" s="24" t="s">
        <v>0</v>
      </c>
      <c r="D4" s="65" t="s">
        <v>34</v>
      </c>
      <c r="E4" s="65"/>
      <c r="F4" s="65"/>
      <c r="G4" s="65"/>
    </row>
    <row r="5" spans="1:7" x14ac:dyDescent="0.35">
      <c r="A5" s="31" t="s">
        <v>115</v>
      </c>
      <c r="B5" s="35">
        <v>0</v>
      </c>
      <c r="C5" s="26" t="s">
        <v>114</v>
      </c>
      <c r="D5" s="65" t="s">
        <v>112</v>
      </c>
      <c r="E5" s="65"/>
      <c r="F5" s="65"/>
      <c r="G5" s="65"/>
    </row>
    <row r="6" spans="1:7" x14ac:dyDescent="0.35">
      <c r="A6" s="29" t="s">
        <v>134</v>
      </c>
      <c r="B6" s="35">
        <v>30</v>
      </c>
      <c r="C6" s="26" t="s">
        <v>8</v>
      </c>
      <c r="D6" s="65" t="s">
        <v>37</v>
      </c>
      <c r="E6" s="65"/>
      <c r="F6" s="65"/>
      <c r="G6" s="65"/>
    </row>
    <row r="7" spans="1:7" x14ac:dyDescent="0.35">
      <c r="A7" s="27" t="s">
        <v>75</v>
      </c>
      <c r="B7" s="34">
        <v>90</v>
      </c>
      <c r="C7" s="26" t="s">
        <v>2</v>
      </c>
      <c r="D7" s="65" t="s">
        <v>14</v>
      </c>
      <c r="E7" s="65"/>
      <c r="F7" s="65"/>
      <c r="G7" s="65"/>
    </row>
    <row r="8" spans="1:7" x14ac:dyDescent="0.35">
      <c r="A8" s="31" t="s">
        <v>80</v>
      </c>
      <c r="B8" s="36">
        <f>EXP(23.58-((4044.2)/(235.6+B4)))</f>
        <v>5320.1573567641681</v>
      </c>
      <c r="C8" s="32" t="s">
        <v>1</v>
      </c>
      <c r="D8" s="66" t="s">
        <v>79</v>
      </c>
      <c r="E8" s="66"/>
      <c r="F8" s="66"/>
      <c r="G8" s="66"/>
    </row>
    <row r="9" spans="1:7" x14ac:dyDescent="0.35">
      <c r="A9" s="31" t="s">
        <v>78</v>
      </c>
      <c r="B9" s="36">
        <f>EXP(23.58-((4044.2)/(235.6+B3)))*B7/100</f>
        <v>2686.6680180468288</v>
      </c>
      <c r="C9" s="32" t="s">
        <v>1</v>
      </c>
      <c r="D9" s="66" t="s">
        <v>35</v>
      </c>
      <c r="E9" s="66"/>
      <c r="F9" s="66"/>
      <c r="G9" s="66"/>
    </row>
    <row r="10" spans="1:7" x14ac:dyDescent="0.35">
      <c r="A10" s="29" t="s">
        <v>142</v>
      </c>
      <c r="B10" s="37">
        <f>(0.0038+0.1356*B5)*(B8-B9)^((-1.255*(B5^3))+(2.182*(B5^2))-1.362*B5+1.377)</f>
        <v>194.9196222079533</v>
      </c>
      <c r="C10" s="26" t="s">
        <v>120</v>
      </c>
      <c r="D10" s="67" t="s">
        <v>72</v>
      </c>
      <c r="E10" s="67"/>
      <c r="F10" s="67"/>
      <c r="G10" s="67"/>
    </row>
  </sheetData>
  <mergeCells count="9">
    <mergeCell ref="D7:G7"/>
    <mergeCell ref="D8:G8"/>
    <mergeCell ref="D9:G9"/>
    <mergeCell ref="D10:G10"/>
    <mergeCell ref="A1:F1"/>
    <mergeCell ref="D3:G3"/>
    <mergeCell ref="D4:G4"/>
    <mergeCell ref="D5:G5"/>
    <mergeCell ref="D6:G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2323D-B5D6-4459-B837-9DE70DA7BAF9}">
  <sheetPr codeName="List5"/>
  <dimension ref="A1:G6"/>
  <sheetViews>
    <sheetView workbookViewId="0">
      <selection activeCell="B6" sqref="B6"/>
    </sheetView>
  </sheetViews>
  <sheetFormatPr defaultRowHeight="14.5" x14ac:dyDescent="0.35"/>
  <sheetData>
    <row r="1" spans="1:7" ht="18.5" x14ac:dyDescent="0.45">
      <c r="A1" s="68" t="s">
        <v>122</v>
      </c>
      <c r="B1" s="68"/>
      <c r="C1" s="68"/>
      <c r="D1" s="68"/>
      <c r="E1" s="68"/>
      <c r="F1" s="68"/>
    </row>
    <row r="3" spans="1:7" x14ac:dyDescent="0.35">
      <c r="A3" s="28" t="s">
        <v>133</v>
      </c>
      <c r="B3" s="33">
        <v>24</v>
      </c>
      <c r="C3" s="24" t="s">
        <v>0</v>
      </c>
      <c r="D3" s="65" t="s">
        <v>11</v>
      </c>
      <c r="E3" s="65"/>
      <c r="F3" s="65"/>
      <c r="G3" s="65"/>
    </row>
    <row r="4" spans="1:7" x14ac:dyDescent="0.35">
      <c r="A4" s="29" t="s">
        <v>132</v>
      </c>
      <c r="B4" s="34">
        <v>34</v>
      </c>
      <c r="C4" s="24" t="s">
        <v>0</v>
      </c>
      <c r="D4" s="65" t="s">
        <v>34</v>
      </c>
      <c r="E4" s="65"/>
      <c r="F4" s="65"/>
      <c r="G4" s="65"/>
    </row>
    <row r="5" spans="1:7" x14ac:dyDescent="0.35">
      <c r="A5" s="27" t="s">
        <v>75</v>
      </c>
      <c r="B5" s="34">
        <v>90</v>
      </c>
      <c r="C5" s="26" t="s">
        <v>2</v>
      </c>
      <c r="D5" s="65" t="s">
        <v>14</v>
      </c>
      <c r="E5" s="65"/>
      <c r="F5" s="65"/>
      <c r="G5" s="65"/>
    </row>
    <row r="6" spans="1:7" x14ac:dyDescent="0.35">
      <c r="A6" s="29" t="s">
        <v>142</v>
      </c>
      <c r="B6" s="37">
        <f>ABS(1*((B4^1.7)-(B3^1.7)*(B5/100)))</f>
        <v>201.53875954519035</v>
      </c>
      <c r="C6" s="26" t="s">
        <v>120</v>
      </c>
      <c r="D6" s="67" t="s">
        <v>72</v>
      </c>
      <c r="E6" s="67"/>
      <c r="F6" s="67"/>
      <c r="G6" s="67"/>
    </row>
  </sheetData>
  <mergeCells count="5">
    <mergeCell ref="A1:F1"/>
    <mergeCell ref="D3:G3"/>
    <mergeCell ref="D4:G4"/>
    <mergeCell ref="D5:G5"/>
    <mergeCell ref="D6:G6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DC2E-875F-443E-B52E-F48F2A1A782C}">
  <sheetPr codeName="List6"/>
  <dimension ref="A1:G11"/>
  <sheetViews>
    <sheetView workbookViewId="0">
      <selection activeCell="A11" sqref="A11"/>
    </sheetView>
  </sheetViews>
  <sheetFormatPr defaultRowHeight="14.5" x14ac:dyDescent="0.35"/>
  <sheetData>
    <row r="1" spans="1:7" ht="18.5" x14ac:dyDescent="0.45">
      <c r="A1" s="68" t="s">
        <v>111</v>
      </c>
      <c r="B1" s="68"/>
      <c r="C1" s="68"/>
      <c r="D1" s="68"/>
      <c r="E1" s="68"/>
      <c r="F1" s="68"/>
    </row>
    <row r="2" spans="1:7" x14ac:dyDescent="0.35">
      <c r="E2" s="1"/>
    </row>
    <row r="3" spans="1:7" x14ac:dyDescent="0.35">
      <c r="A3" s="28" t="s">
        <v>133</v>
      </c>
      <c r="B3" s="33">
        <v>24</v>
      </c>
      <c r="C3" s="24" t="s">
        <v>0</v>
      </c>
      <c r="D3" s="65" t="s">
        <v>11</v>
      </c>
      <c r="E3" s="65"/>
      <c r="F3" s="65"/>
      <c r="G3" s="65"/>
    </row>
    <row r="4" spans="1:7" x14ac:dyDescent="0.35">
      <c r="A4" s="29" t="s">
        <v>132</v>
      </c>
      <c r="B4" s="34">
        <v>34</v>
      </c>
      <c r="C4" s="24" t="s">
        <v>0</v>
      </c>
      <c r="D4" s="65" t="s">
        <v>34</v>
      </c>
      <c r="E4" s="65"/>
      <c r="F4" s="65"/>
      <c r="G4" s="65"/>
    </row>
    <row r="5" spans="1:7" x14ac:dyDescent="0.35">
      <c r="A5" s="31" t="s">
        <v>115</v>
      </c>
      <c r="B5" s="35">
        <v>0</v>
      </c>
      <c r="C5" s="26" t="s">
        <v>114</v>
      </c>
      <c r="D5" s="65" t="s">
        <v>112</v>
      </c>
      <c r="E5" s="65"/>
      <c r="F5" s="65"/>
      <c r="G5" s="65"/>
    </row>
    <row r="6" spans="1:7" x14ac:dyDescent="0.35">
      <c r="A6" s="31" t="s">
        <v>135</v>
      </c>
      <c r="B6" s="35">
        <v>4182</v>
      </c>
      <c r="C6" s="26" t="s">
        <v>116</v>
      </c>
      <c r="D6" s="65" t="s">
        <v>113</v>
      </c>
      <c r="E6" s="65"/>
      <c r="F6" s="65"/>
      <c r="G6" s="65"/>
    </row>
    <row r="7" spans="1:7" x14ac:dyDescent="0.35">
      <c r="A7" s="29" t="s">
        <v>134</v>
      </c>
      <c r="B7" s="35">
        <v>30</v>
      </c>
      <c r="C7" s="26" t="s">
        <v>8</v>
      </c>
      <c r="D7" s="65" t="s">
        <v>37</v>
      </c>
      <c r="E7" s="65"/>
      <c r="F7" s="65"/>
      <c r="G7" s="65"/>
    </row>
    <row r="8" spans="1:7" x14ac:dyDescent="0.35">
      <c r="A8" s="27" t="s">
        <v>75</v>
      </c>
      <c r="B8" s="34">
        <v>90</v>
      </c>
      <c r="C8" s="26" t="s">
        <v>2</v>
      </c>
      <c r="D8" s="65" t="s">
        <v>14</v>
      </c>
      <c r="E8" s="65"/>
      <c r="F8" s="65"/>
      <c r="G8" s="65"/>
    </row>
    <row r="9" spans="1:7" x14ac:dyDescent="0.35">
      <c r="A9" s="31" t="s">
        <v>80</v>
      </c>
      <c r="B9" s="36">
        <f>EXP(23.58-((4044.2)/(235.6+B4)))</f>
        <v>5320.1573567641681</v>
      </c>
      <c r="C9" s="32" t="s">
        <v>1</v>
      </c>
      <c r="D9" s="66" t="s">
        <v>79</v>
      </c>
      <c r="E9" s="66"/>
      <c r="F9" s="66"/>
      <c r="G9" s="66"/>
    </row>
    <row r="10" spans="1:7" x14ac:dyDescent="0.35">
      <c r="A10" s="31" t="s">
        <v>78</v>
      </c>
      <c r="B10" s="36">
        <f>EXP(23.58-((4044.2)/(235.6+B3)))*B8/100</f>
        <v>2686.6680180468288</v>
      </c>
      <c r="C10" s="32" t="s">
        <v>1</v>
      </c>
      <c r="D10" s="66" t="s">
        <v>35</v>
      </c>
      <c r="E10" s="66"/>
      <c r="F10" s="66"/>
      <c r="G10" s="66"/>
    </row>
    <row r="11" spans="1:7" x14ac:dyDescent="0.35">
      <c r="A11" s="29" t="s">
        <v>142</v>
      </c>
      <c r="B11" s="37">
        <f>((0.89+0.789*B5)*(B9-B10)/B6)*1000*0.5</f>
        <v>280.22543178603928</v>
      </c>
      <c r="C11" s="26" t="s">
        <v>120</v>
      </c>
      <c r="D11" s="67" t="s">
        <v>72</v>
      </c>
      <c r="E11" s="67"/>
      <c r="F11" s="67"/>
      <c r="G11" s="67"/>
    </row>
  </sheetData>
  <mergeCells count="10">
    <mergeCell ref="D10:G10"/>
    <mergeCell ref="D11:G11"/>
    <mergeCell ref="A1:F1"/>
    <mergeCell ref="D5:G5"/>
    <mergeCell ref="D3:G3"/>
    <mergeCell ref="D4:G4"/>
    <mergeCell ref="D6:G6"/>
    <mergeCell ref="D7:G7"/>
    <mergeCell ref="D8:G8"/>
    <mergeCell ref="D9:G9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4D35-0773-45B7-BA92-C9CD4D2004C1}">
  <sheetPr codeName="List10"/>
  <dimension ref="A1:G24"/>
  <sheetViews>
    <sheetView topLeftCell="A9" workbookViewId="0">
      <selection activeCell="B21" sqref="B21"/>
    </sheetView>
  </sheetViews>
  <sheetFormatPr defaultRowHeight="14.5" x14ac:dyDescent="0.35"/>
  <cols>
    <col min="3" max="3" width="11.26953125" customWidth="1"/>
  </cols>
  <sheetData>
    <row r="1" spans="1:7" ht="18.5" x14ac:dyDescent="0.45">
      <c r="A1" s="68" t="s">
        <v>117</v>
      </c>
      <c r="B1" s="68"/>
      <c r="C1" s="68"/>
      <c r="D1" s="68"/>
      <c r="E1" s="68"/>
      <c r="F1" s="68"/>
    </row>
    <row r="2" spans="1:7" x14ac:dyDescent="0.35">
      <c r="A2" s="26" t="s">
        <v>136</v>
      </c>
      <c r="B2" s="35">
        <v>24</v>
      </c>
      <c r="C2" s="26" t="s">
        <v>0</v>
      </c>
      <c r="D2" s="73" t="s">
        <v>11</v>
      </c>
      <c r="E2" s="73"/>
      <c r="F2" s="73"/>
    </row>
    <row r="3" spans="1:7" x14ac:dyDescent="0.35">
      <c r="A3" s="26" t="s">
        <v>137</v>
      </c>
      <c r="B3" s="35">
        <v>34</v>
      </c>
      <c r="C3" s="26"/>
      <c r="D3" s="73" t="s">
        <v>34</v>
      </c>
      <c r="E3" s="73"/>
      <c r="F3" s="73"/>
    </row>
    <row r="4" spans="1:7" x14ac:dyDescent="0.35">
      <c r="A4" s="26" t="s">
        <v>134</v>
      </c>
      <c r="B4" s="34">
        <v>30</v>
      </c>
      <c r="C4" s="26"/>
      <c r="D4" s="73" t="s">
        <v>37</v>
      </c>
      <c r="E4" s="73"/>
      <c r="F4" s="73"/>
    </row>
    <row r="5" spans="1:7" x14ac:dyDescent="0.35">
      <c r="A5" s="26" t="s">
        <v>139</v>
      </c>
      <c r="B5" s="51">
        <f>0.622*((B7/100)*(EXP(23.58-(4044.2/(235+B2))))/(B8-(B7/100)*(EXP(23.58-(4044.2/(235+B2))))))</f>
        <v>1.6325487550781746E-2</v>
      </c>
      <c r="C5" s="26"/>
      <c r="D5" s="73" t="s">
        <v>7</v>
      </c>
      <c r="E5" s="73"/>
      <c r="F5" s="73"/>
    </row>
    <row r="6" spans="1:7" x14ac:dyDescent="0.35">
      <c r="A6" s="26" t="s">
        <v>138</v>
      </c>
      <c r="B6" s="51">
        <f>0.622*((EXP(23.58-(4044.2/(235+B3))))/(B8-(EXP(23.58-(4044.2/(235+B3))))))</f>
        <v>3.3273578041909023E-2</v>
      </c>
      <c r="C6" s="26"/>
      <c r="D6" s="73" t="s">
        <v>6</v>
      </c>
      <c r="E6" s="73"/>
      <c r="F6" s="73"/>
    </row>
    <row r="7" spans="1:7" x14ac:dyDescent="0.35">
      <c r="A7" s="27" t="s">
        <v>75</v>
      </c>
      <c r="B7" s="34">
        <v>90</v>
      </c>
      <c r="C7" s="26" t="s">
        <v>2</v>
      </c>
      <c r="D7" s="73" t="s">
        <v>14</v>
      </c>
      <c r="E7" s="73"/>
      <c r="F7" s="73"/>
    </row>
    <row r="8" spans="1:7" x14ac:dyDescent="0.35">
      <c r="A8" s="26" t="s">
        <v>140</v>
      </c>
      <c r="B8" s="34">
        <v>101325</v>
      </c>
      <c r="C8" s="26" t="s">
        <v>1</v>
      </c>
      <c r="D8" s="73" t="s">
        <v>15</v>
      </c>
      <c r="E8" s="73"/>
      <c r="F8" s="73"/>
    </row>
    <row r="9" spans="1:7" x14ac:dyDescent="0.35">
      <c r="A9" s="64"/>
      <c r="B9" s="57"/>
      <c r="C9" s="57"/>
    </row>
    <row r="10" spans="1:7" x14ac:dyDescent="0.35">
      <c r="A10" s="31" t="s">
        <v>80</v>
      </c>
      <c r="B10" s="36">
        <f>EXP(23.58-((4044.2)/(235.6+B3)))</f>
        <v>5320.1573567641681</v>
      </c>
      <c r="C10" s="32" t="s">
        <v>1</v>
      </c>
      <c r="D10" s="66" t="s">
        <v>79</v>
      </c>
      <c r="E10" s="66"/>
      <c r="F10" s="66"/>
      <c r="G10" s="66"/>
    </row>
    <row r="11" spans="1:7" x14ac:dyDescent="0.35">
      <c r="A11" s="31" t="s">
        <v>78</v>
      </c>
      <c r="B11" s="36">
        <f>EXP(23.58-((4044.2)/(235.6+B2)))*B7/100</f>
        <v>2686.6680180468288</v>
      </c>
      <c r="C11" s="32" t="s">
        <v>1</v>
      </c>
      <c r="D11" s="66" t="s">
        <v>35</v>
      </c>
      <c r="E11" s="66"/>
      <c r="F11" s="66"/>
      <c r="G11" s="66"/>
    </row>
    <row r="12" spans="1:7" x14ac:dyDescent="0.35">
      <c r="A12" s="30"/>
      <c r="B12" s="58"/>
      <c r="C12" s="59"/>
      <c r="D12" s="69"/>
      <c r="E12" s="69"/>
      <c r="F12" s="69"/>
      <c r="G12" s="69"/>
    </row>
    <row r="13" spans="1:7" x14ac:dyDescent="0.35">
      <c r="A13" s="56" t="s">
        <v>123</v>
      </c>
      <c r="B13" s="57"/>
      <c r="C13" s="57"/>
    </row>
    <row r="14" spans="1:7" x14ac:dyDescent="0.35">
      <c r="A14" s="29" t="s">
        <v>94</v>
      </c>
      <c r="B14" s="41">
        <f>(B11)/(461.52*(B2+273.15))</f>
        <v>1.9590600346549494E-2</v>
      </c>
      <c r="C14" s="32" t="s">
        <v>21</v>
      </c>
      <c r="D14" s="70" t="s">
        <v>20</v>
      </c>
      <c r="E14" s="71"/>
      <c r="F14" s="71"/>
      <c r="G14" s="72"/>
    </row>
    <row r="15" spans="1:7" x14ac:dyDescent="0.35">
      <c r="A15" s="50" t="s">
        <v>95</v>
      </c>
      <c r="B15" s="42">
        <f>(B8-B11)/(287.12*(B2+273.15))</f>
        <v>1.1561296510913441</v>
      </c>
      <c r="C15" s="32" t="s">
        <v>21</v>
      </c>
      <c r="D15" s="70" t="s">
        <v>19</v>
      </c>
      <c r="E15" s="71"/>
      <c r="F15" s="71"/>
      <c r="G15" s="72"/>
    </row>
    <row r="16" spans="1:7" x14ac:dyDescent="0.35">
      <c r="A16" s="29" t="s">
        <v>96</v>
      </c>
      <c r="B16" s="41">
        <f>B14+B15</f>
        <v>1.1757202514378937</v>
      </c>
      <c r="C16" s="32" t="s">
        <v>93</v>
      </c>
      <c r="D16" s="70" t="s">
        <v>22</v>
      </c>
      <c r="E16" s="71"/>
      <c r="F16" s="71"/>
      <c r="G16" s="72"/>
    </row>
    <row r="17" spans="1:7" x14ac:dyDescent="0.35">
      <c r="A17" s="56" t="s">
        <v>124</v>
      </c>
      <c r="B17" s="57"/>
      <c r="C17" s="57"/>
    </row>
    <row r="18" spans="1:7" x14ac:dyDescent="0.35">
      <c r="A18" s="29" t="s">
        <v>94</v>
      </c>
      <c r="B18" s="41">
        <f>(B10)/(461.52*(B3+273.15))</f>
        <v>3.7530420657888877E-2</v>
      </c>
      <c r="C18" s="32" t="s">
        <v>21</v>
      </c>
      <c r="D18" s="65" t="s">
        <v>20</v>
      </c>
      <c r="E18" s="65"/>
      <c r="F18" s="65"/>
      <c r="G18" s="65"/>
    </row>
    <row r="19" spans="1:7" x14ac:dyDescent="0.35">
      <c r="A19" s="50" t="s">
        <v>95</v>
      </c>
      <c r="B19" s="42">
        <f>(B8-B10)/(287.12*(B3+273.15))</f>
        <v>1.0886271847615558</v>
      </c>
      <c r="C19" s="32" t="s">
        <v>21</v>
      </c>
      <c r="D19" s="65" t="s">
        <v>19</v>
      </c>
      <c r="E19" s="65"/>
      <c r="F19" s="65"/>
      <c r="G19" s="65"/>
    </row>
    <row r="20" spans="1:7" x14ac:dyDescent="0.35">
      <c r="A20" s="29" t="s">
        <v>96</v>
      </c>
      <c r="B20" s="41">
        <f>B18+B19</f>
        <v>1.1261576054194447</v>
      </c>
      <c r="C20" s="32" t="s">
        <v>93</v>
      </c>
      <c r="D20" s="65" t="s">
        <v>22</v>
      </c>
      <c r="E20" s="65"/>
      <c r="F20" s="65"/>
      <c r="G20" s="65"/>
    </row>
    <row r="21" spans="1:7" x14ac:dyDescent="0.35">
      <c r="A21" s="29" t="s">
        <v>142</v>
      </c>
      <c r="B21" s="37">
        <f>ABS(((35*B20*((B16-B20)^(1/3))*(B6-B5))*1000))</f>
        <v>245.38018377657249</v>
      </c>
      <c r="C21" s="26" t="s">
        <v>120</v>
      </c>
      <c r="D21" s="67" t="s">
        <v>72</v>
      </c>
      <c r="E21" s="67"/>
      <c r="F21" s="67"/>
      <c r="G21" s="67"/>
    </row>
    <row r="22" spans="1:7" x14ac:dyDescent="0.35">
      <c r="A22" s="30"/>
      <c r="B22" s="58"/>
      <c r="C22" s="59"/>
      <c r="D22" s="69"/>
      <c r="E22" s="69"/>
      <c r="F22" s="69"/>
      <c r="G22" s="69"/>
    </row>
    <row r="23" spans="1:7" x14ac:dyDescent="0.35">
      <c r="A23" s="60"/>
      <c r="B23" s="61"/>
      <c r="C23" s="59"/>
      <c r="D23" s="69"/>
      <c r="E23" s="69"/>
      <c r="F23" s="69"/>
      <c r="G23" s="69"/>
    </row>
    <row r="24" spans="1:7" x14ac:dyDescent="0.35">
      <c r="A24" s="30"/>
      <c r="B24" s="58"/>
      <c r="C24" s="59"/>
      <c r="D24" s="69"/>
      <c r="E24" s="69"/>
      <c r="F24" s="69"/>
      <c r="G24" s="69"/>
    </row>
  </sheetData>
  <mergeCells count="21">
    <mergeCell ref="D6:F6"/>
    <mergeCell ref="A1:F1"/>
    <mergeCell ref="D2:F2"/>
    <mergeCell ref="D3:F3"/>
    <mergeCell ref="D4:F4"/>
    <mergeCell ref="D5:F5"/>
    <mergeCell ref="D7:F7"/>
    <mergeCell ref="D8:F8"/>
    <mergeCell ref="D10:G10"/>
    <mergeCell ref="D11:G11"/>
    <mergeCell ref="D12:G12"/>
    <mergeCell ref="D14:G14"/>
    <mergeCell ref="D15:G15"/>
    <mergeCell ref="D16:G16"/>
    <mergeCell ref="D18:G18"/>
    <mergeCell ref="D19:G19"/>
    <mergeCell ref="D20:G20"/>
    <mergeCell ref="D22:G22"/>
    <mergeCell ref="D23:G23"/>
    <mergeCell ref="D24:G24"/>
    <mergeCell ref="D21:G2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91E0-6F26-4181-AF6F-FCD4C36187D2}">
  <sheetPr codeName="List11"/>
  <dimension ref="A1:G11"/>
  <sheetViews>
    <sheetView workbookViewId="0">
      <selection activeCell="A11" sqref="A11"/>
    </sheetView>
  </sheetViews>
  <sheetFormatPr defaultRowHeight="14.5" x14ac:dyDescent="0.35"/>
  <sheetData>
    <row r="1" spans="1:7" ht="18.5" x14ac:dyDescent="0.45">
      <c r="A1" s="54" t="s">
        <v>106</v>
      </c>
      <c r="B1" s="54"/>
      <c r="C1" s="54"/>
    </row>
    <row r="2" spans="1:7" x14ac:dyDescent="0.35">
      <c r="E2" s="1"/>
    </row>
    <row r="3" spans="1:7" x14ac:dyDescent="0.35">
      <c r="A3" s="28" t="s">
        <v>133</v>
      </c>
      <c r="B3" s="33">
        <v>24</v>
      </c>
      <c r="C3" s="24" t="s">
        <v>0</v>
      </c>
      <c r="D3" s="65" t="s">
        <v>11</v>
      </c>
      <c r="E3" s="65"/>
      <c r="F3" s="65"/>
      <c r="G3" s="65"/>
    </row>
    <row r="4" spans="1:7" x14ac:dyDescent="0.35">
      <c r="A4" s="29" t="s">
        <v>132</v>
      </c>
      <c r="B4" s="34">
        <v>34</v>
      </c>
      <c r="C4" s="26" t="s">
        <v>0</v>
      </c>
      <c r="D4" s="65" t="s">
        <v>34</v>
      </c>
      <c r="E4" s="65"/>
      <c r="F4" s="65"/>
      <c r="G4" s="65"/>
    </row>
    <row r="5" spans="1:7" x14ac:dyDescent="0.35">
      <c r="A5" s="30"/>
      <c r="B5" s="25"/>
      <c r="C5" s="25"/>
      <c r="D5" s="23"/>
      <c r="E5" s="23"/>
      <c r="F5" s="23"/>
      <c r="G5" s="23"/>
    </row>
    <row r="6" spans="1:7" x14ac:dyDescent="0.35">
      <c r="A6" s="31" t="s">
        <v>107</v>
      </c>
      <c r="B6" s="35">
        <v>0.53</v>
      </c>
      <c r="C6" s="26" t="s">
        <v>26</v>
      </c>
      <c r="D6" s="65" t="s">
        <v>108</v>
      </c>
      <c r="E6" s="65"/>
      <c r="F6" s="65"/>
      <c r="G6" s="65"/>
    </row>
    <row r="7" spans="1:7" x14ac:dyDescent="0.35">
      <c r="A7" s="29" t="s">
        <v>74</v>
      </c>
      <c r="B7" s="35">
        <v>30</v>
      </c>
      <c r="C7" s="26" t="s">
        <v>8</v>
      </c>
      <c r="D7" s="65" t="s">
        <v>37</v>
      </c>
      <c r="E7" s="65"/>
      <c r="F7" s="65"/>
      <c r="G7" s="65"/>
    </row>
    <row r="8" spans="1:7" x14ac:dyDescent="0.35">
      <c r="A8" s="27" t="s">
        <v>75</v>
      </c>
      <c r="B8" s="34">
        <v>90</v>
      </c>
      <c r="C8" s="26" t="s">
        <v>2</v>
      </c>
      <c r="D8" s="65" t="s">
        <v>14</v>
      </c>
      <c r="E8" s="65"/>
      <c r="F8" s="65"/>
      <c r="G8" s="65"/>
    </row>
    <row r="9" spans="1:7" x14ac:dyDescent="0.35">
      <c r="A9" s="31" t="s">
        <v>80</v>
      </c>
      <c r="B9" s="36">
        <f>EXP(23.58-((4044.2)/(235.6+B4)))</f>
        <v>5320.1573567641681</v>
      </c>
      <c r="C9" s="32" t="s">
        <v>1</v>
      </c>
      <c r="D9" s="66" t="s">
        <v>79</v>
      </c>
      <c r="E9" s="66"/>
      <c r="F9" s="66"/>
      <c r="G9" s="66"/>
    </row>
    <row r="10" spans="1:7" x14ac:dyDescent="0.35">
      <c r="A10" s="31" t="s">
        <v>78</v>
      </c>
      <c r="B10" s="36">
        <f>EXP(23.58-((4044.2)/(235.6+B3)))*B8/100</f>
        <v>2686.6680180468288</v>
      </c>
      <c r="C10" s="32" t="s">
        <v>1</v>
      </c>
      <c r="D10" s="66" t="s">
        <v>35</v>
      </c>
      <c r="E10" s="66"/>
      <c r="F10" s="66"/>
      <c r="G10" s="66"/>
    </row>
    <row r="11" spans="1:7" x14ac:dyDescent="0.35">
      <c r="A11" s="29" t="s">
        <v>142</v>
      </c>
      <c r="B11" s="37">
        <f>((4*10^(-5))*B6*(B9-B10))*3600</f>
        <v>200.98790633090735</v>
      </c>
      <c r="C11" s="26" t="s">
        <v>120</v>
      </c>
      <c r="D11" s="67" t="s">
        <v>72</v>
      </c>
      <c r="E11" s="67"/>
      <c r="F11" s="67"/>
      <c r="G11" s="67"/>
    </row>
  </sheetData>
  <mergeCells count="8">
    <mergeCell ref="D9:G9"/>
    <mergeCell ref="D10:G10"/>
    <mergeCell ref="D11:G11"/>
    <mergeCell ref="D3:G3"/>
    <mergeCell ref="D4:G4"/>
    <mergeCell ref="D6:G6"/>
    <mergeCell ref="D7:G7"/>
    <mergeCell ref="D8:G8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8379E-57E5-411A-B8E2-E29A031FEA70}">
  <sheetPr codeName="List9"/>
  <dimension ref="A1:F10"/>
  <sheetViews>
    <sheetView workbookViewId="0">
      <selection activeCell="C4" sqref="C4:C6"/>
    </sheetView>
  </sheetViews>
  <sheetFormatPr defaultRowHeight="14.5" x14ac:dyDescent="0.35"/>
  <sheetData>
    <row r="1" spans="1:6" ht="18.5" x14ac:dyDescent="0.45">
      <c r="A1" s="2" t="s">
        <v>104</v>
      </c>
    </row>
    <row r="2" spans="1:6" x14ac:dyDescent="0.35">
      <c r="A2" s="28" t="s">
        <v>133</v>
      </c>
      <c r="B2" s="35">
        <v>24</v>
      </c>
      <c r="C2" s="26" t="s">
        <v>0</v>
      </c>
      <c r="D2" s="73" t="s">
        <v>11</v>
      </c>
      <c r="E2" s="73"/>
      <c r="F2" s="73"/>
    </row>
    <row r="3" spans="1:6" x14ac:dyDescent="0.35">
      <c r="A3" s="29" t="s">
        <v>132</v>
      </c>
      <c r="B3" s="35">
        <v>34</v>
      </c>
      <c r="C3" s="26" t="s">
        <v>0</v>
      </c>
      <c r="D3" s="73" t="s">
        <v>34</v>
      </c>
      <c r="E3" s="73"/>
      <c r="F3" s="73"/>
    </row>
    <row r="4" spans="1:6" x14ac:dyDescent="0.35">
      <c r="A4" s="26" t="s">
        <v>134</v>
      </c>
      <c r="B4" s="34">
        <v>30</v>
      </c>
      <c r="C4" s="26" t="s">
        <v>8</v>
      </c>
      <c r="D4" s="73" t="s">
        <v>37</v>
      </c>
      <c r="E4" s="73"/>
      <c r="F4" s="73"/>
    </row>
    <row r="5" spans="1:6" x14ac:dyDescent="0.35">
      <c r="A5" s="26" t="s">
        <v>139</v>
      </c>
      <c r="B5" s="51">
        <f>0.622*((B7/100)*(EXP(23.58-(4044.2/(235+B2))))/(B8-(B7/100)*(EXP(23.58-(4044.2/(235+B2))))))</f>
        <v>1.6325487550781746E-2</v>
      </c>
      <c r="C5" s="26" t="s">
        <v>128</v>
      </c>
      <c r="D5" s="73" t="s">
        <v>7</v>
      </c>
      <c r="E5" s="73"/>
      <c r="F5" s="73"/>
    </row>
    <row r="6" spans="1:6" x14ac:dyDescent="0.35">
      <c r="A6" s="26" t="s">
        <v>138</v>
      </c>
      <c r="B6" s="51">
        <f>0.622*((EXP(23.58-(4044.2/(235+B3))))/(B8-(EXP(23.58-(4044.2/(235+B3))))))</f>
        <v>3.3273578041909023E-2</v>
      </c>
      <c r="C6" s="26" t="s">
        <v>128</v>
      </c>
      <c r="D6" s="73" t="s">
        <v>6</v>
      </c>
      <c r="E6" s="73"/>
      <c r="F6" s="73"/>
    </row>
    <row r="7" spans="1:6" x14ac:dyDescent="0.35">
      <c r="A7" s="27" t="s">
        <v>75</v>
      </c>
      <c r="B7" s="34">
        <v>90</v>
      </c>
      <c r="C7" s="26" t="s">
        <v>2</v>
      </c>
      <c r="D7" s="73" t="s">
        <v>14</v>
      </c>
      <c r="E7" s="73"/>
      <c r="F7" s="73"/>
    </row>
    <row r="8" spans="1:6" x14ac:dyDescent="0.35">
      <c r="A8" s="26" t="s">
        <v>140</v>
      </c>
      <c r="B8" s="34">
        <v>101325</v>
      </c>
      <c r="C8" s="26" t="s">
        <v>1</v>
      </c>
      <c r="D8" s="73" t="s">
        <v>15</v>
      </c>
      <c r="E8" s="73"/>
      <c r="F8" s="73"/>
    </row>
    <row r="9" spans="1:6" x14ac:dyDescent="0.35">
      <c r="A9" s="50" t="s">
        <v>141</v>
      </c>
      <c r="B9" s="52">
        <v>7.91</v>
      </c>
      <c r="C9" s="26" t="s">
        <v>103</v>
      </c>
      <c r="D9" s="73" t="s">
        <v>105</v>
      </c>
      <c r="E9" s="73"/>
      <c r="F9" s="73"/>
    </row>
    <row r="10" spans="1:6" x14ac:dyDescent="0.35">
      <c r="A10" s="26" t="s">
        <v>142</v>
      </c>
      <c r="B10" s="37">
        <f>(B9*(B6-B5))*1000</f>
        <v>134.05939578481676</v>
      </c>
      <c r="C10" s="26" t="s">
        <v>120</v>
      </c>
      <c r="D10" s="74" t="s">
        <v>72</v>
      </c>
      <c r="E10" s="74"/>
      <c r="F10" s="74"/>
    </row>
  </sheetData>
  <mergeCells count="9">
    <mergeCell ref="D8:F8"/>
    <mergeCell ref="D9:F9"/>
    <mergeCell ref="D10:F10"/>
    <mergeCell ref="D2:F2"/>
    <mergeCell ref="D3:F3"/>
    <mergeCell ref="D4:F4"/>
    <mergeCell ref="D5:F5"/>
    <mergeCell ref="D6:F6"/>
    <mergeCell ref="D7:F7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4DBE8-55B5-4A9B-99DA-49BBD14DBAE1}">
  <sheetPr codeName="List8"/>
  <dimension ref="A1:G11"/>
  <sheetViews>
    <sheetView workbookViewId="0">
      <selection activeCell="I10" sqref="I10"/>
    </sheetView>
  </sheetViews>
  <sheetFormatPr defaultRowHeight="14.5" x14ac:dyDescent="0.35"/>
  <cols>
    <col min="2" max="2" width="10.36328125" bestFit="1" customWidth="1"/>
  </cols>
  <sheetData>
    <row r="1" spans="1:7" ht="18.5" x14ac:dyDescent="0.45">
      <c r="A1" s="75" t="s">
        <v>59</v>
      </c>
      <c r="B1" s="75"/>
      <c r="C1" s="75"/>
    </row>
    <row r="2" spans="1:7" x14ac:dyDescent="0.35">
      <c r="E2" s="1"/>
    </row>
    <row r="3" spans="1:7" x14ac:dyDescent="0.35">
      <c r="A3" s="28" t="s">
        <v>132</v>
      </c>
      <c r="B3" s="33">
        <v>24</v>
      </c>
      <c r="C3" s="24" t="s">
        <v>0</v>
      </c>
      <c r="D3" s="65" t="s">
        <v>11</v>
      </c>
      <c r="E3" s="65"/>
      <c r="F3" s="65"/>
      <c r="G3" s="65"/>
    </row>
    <row r="4" spans="1:7" x14ac:dyDescent="0.35">
      <c r="A4" s="29" t="s">
        <v>133</v>
      </c>
      <c r="B4" s="34">
        <v>34</v>
      </c>
      <c r="C4" s="26" t="s">
        <v>0</v>
      </c>
      <c r="D4" s="65" t="s">
        <v>34</v>
      </c>
      <c r="E4" s="65"/>
      <c r="F4" s="65"/>
      <c r="G4" s="65"/>
    </row>
    <row r="5" spans="1:7" x14ac:dyDescent="0.35">
      <c r="A5" s="30"/>
      <c r="B5" s="25"/>
      <c r="C5" s="25"/>
      <c r="D5" s="23"/>
      <c r="E5" s="23"/>
      <c r="F5" s="23"/>
      <c r="G5" s="23"/>
    </row>
    <row r="6" spans="1:7" x14ac:dyDescent="0.35">
      <c r="A6" s="29" t="s">
        <v>73</v>
      </c>
      <c r="B6" s="35">
        <v>7</v>
      </c>
      <c r="C6" s="26" t="s">
        <v>61</v>
      </c>
      <c r="D6" s="65" t="s">
        <v>60</v>
      </c>
      <c r="E6" s="65"/>
      <c r="F6" s="65"/>
      <c r="G6" s="65"/>
    </row>
    <row r="7" spans="1:7" x14ac:dyDescent="0.35">
      <c r="A7" s="29" t="s">
        <v>134</v>
      </c>
      <c r="B7" s="35">
        <v>30</v>
      </c>
      <c r="C7" s="26" t="s">
        <v>8</v>
      </c>
      <c r="D7" s="65" t="s">
        <v>37</v>
      </c>
      <c r="E7" s="65"/>
      <c r="F7" s="65"/>
      <c r="G7" s="65"/>
    </row>
    <row r="8" spans="1:7" x14ac:dyDescent="0.35">
      <c r="A8" s="27" t="s">
        <v>75</v>
      </c>
      <c r="B8" s="34">
        <v>90</v>
      </c>
      <c r="C8" s="26" t="s">
        <v>2</v>
      </c>
      <c r="D8" s="65" t="s">
        <v>14</v>
      </c>
      <c r="E8" s="65"/>
      <c r="F8" s="65"/>
      <c r="G8" s="65"/>
    </row>
    <row r="9" spans="1:7" ht="28.5" customHeight="1" x14ac:dyDescent="0.35">
      <c r="A9" s="31" t="s">
        <v>80</v>
      </c>
      <c r="B9" s="36">
        <f>EXP(23.58-((4044.2)/(235.6+B4)))</f>
        <v>5320.1573567641681</v>
      </c>
      <c r="C9" s="32" t="s">
        <v>1</v>
      </c>
      <c r="D9" s="66" t="s">
        <v>79</v>
      </c>
      <c r="E9" s="66"/>
      <c r="F9" s="66"/>
      <c r="G9" s="66"/>
    </row>
    <row r="10" spans="1:7" ht="29" customHeight="1" x14ac:dyDescent="0.35">
      <c r="A10" s="31" t="s">
        <v>78</v>
      </c>
      <c r="B10" s="36">
        <f>EXP(23.58-((4044.2)/(235.6+B3)))*B8/100</f>
        <v>2686.6680180468288</v>
      </c>
      <c r="C10" s="32" t="s">
        <v>1</v>
      </c>
      <c r="D10" s="66" t="s">
        <v>35</v>
      </c>
      <c r="E10" s="66"/>
      <c r="F10" s="66"/>
      <c r="G10" s="66"/>
    </row>
    <row r="11" spans="1:7" x14ac:dyDescent="0.35">
      <c r="A11" s="29" t="s">
        <v>142</v>
      </c>
      <c r="B11" s="37">
        <f>(B6/(461.52*(((B3+B4)/2)+273.15))*(B9-B10))*1000</f>
        <v>132.19544161725534</v>
      </c>
      <c r="C11" s="26" t="s">
        <v>120</v>
      </c>
      <c r="D11" s="67" t="s">
        <v>72</v>
      </c>
      <c r="E11" s="67"/>
      <c r="F11" s="67"/>
      <c r="G11" s="67"/>
    </row>
  </sheetData>
  <mergeCells count="9">
    <mergeCell ref="D10:G10"/>
    <mergeCell ref="D11:G11"/>
    <mergeCell ref="A1:C1"/>
    <mergeCell ref="D3:G3"/>
    <mergeCell ref="D4:G4"/>
    <mergeCell ref="D6:G6"/>
    <mergeCell ref="D7:G7"/>
    <mergeCell ref="D8:G8"/>
    <mergeCell ref="D9:G9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9410A-2DAF-45F8-984D-35A453393C0E}">
  <sheetPr codeName="List1"/>
  <dimension ref="A1:H35"/>
  <sheetViews>
    <sheetView topLeftCell="A10" workbookViewId="0">
      <selection activeCell="K22" sqref="K22"/>
    </sheetView>
  </sheetViews>
  <sheetFormatPr defaultRowHeight="14.5" x14ac:dyDescent="0.35"/>
  <cols>
    <col min="2" max="2" width="18.453125" bestFit="1" customWidth="1"/>
    <col min="3" max="3" width="11.453125" customWidth="1"/>
  </cols>
  <sheetData>
    <row r="1" spans="1:7" ht="18.5" x14ac:dyDescent="0.45">
      <c r="A1" s="68" t="s">
        <v>9</v>
      </c>
      <c r="B1" s="68"/>
      <c r="C1" s="68"/>
    </row>
    <row r="2" spans="1:7" x14ac:dyDescent="0.35">
      <c r="E2" s="1" t="s">
        <v>10</v>
      </c>
    </row>
    <row r="3" spans="1:7" x14ac:dyDescent="0.35">
      <c r="A3" s="28" t="s">
        <v>76</v>
      </c>
      <c r="B3" s="38">
        <v>24</v>
      </c>
      <c r="C3" s="32" t="s">
        <v>0</v>
      </c>
      <c r="D3" s="73" t="s">
        <v>11</v>
      </c>
      <c r="E3" s="73"/>
      <c r="F3" s="73"/>
      <c r="G3" s="73"/>
    </row>
    <row r="4" spans="1:7" x14ac:dyDescent="0.35">
      <c r="A4" s="29" t="s">
        <v>77</v>
      </c>
      <c r="B4" s="38">
        <v>34</v>
      </c>
      <c r="C4" s="32" t="s">
        <v>0</v>
      </c>
      <c r="D4" s="73" t="s">
        <v>34</v>
      </c>
      <c r="E4" s="73"/>
      <c r="F4" s="73"/>
      <c r="G4" s="73"/>
    </row>
    <row r="5" spans="1:7" x14ac:dyDescent="0.35">
      <c r="A5" s="31" t="s">
        <v>74</v>
      </c>
      <c r="B5" s="38">
        <v>30</v>
      </c>
      <c r="C5" s="32" t="s">
        <v>8</v>
      </c>
      <c r="D5" s="73" t="s">
        <v>37</v>
      </c>
      <c r="E5" s="73"/>
      <c r="F5" s="73"/>
      <c r="G5" s="73"/>
    </row>
    <row r="6" spans="1:7" x14ac:dyDescent="0.35">
      <c r="A6" s="50" t="s">
        <v>98</v>
      </c>
      <c r="B6" s="39">
        <f>1.521*(10^(-6))*((B3+273.15)*SQRT(B3+273.15))/((B3+273.15)+126)</f>
        <v>1.8411894203571981E-5</v>
      </c>
      <c r="C6" s="32" t="s">
        <v>16</v>
      </c>
      <c r="D6" s="73" t="s">
        <v>12</v>
      </c>
      <c r="E6" s="73"/>
      <c r="F6" s="73"/>
      <c r="G6" s="73"/>
    </row>
    <row r="7" spans="1:7" x14ac:dyDescent="0.35">
      <c r="A7" s="50" t="s">
        <v>102</v>
      </c>
      <c r="B7" s="39">
        <f>(10^(-4))*(SQRT((B3+273.15)/647.096))/(((1.67752/1))+(2.20462/(((B3+273.15)/647.096)^1))+(0.6366564/(((B3+273.15)/647.096)^2))+(-0.241605/(((B3+273.15)/647.096)^3)))</f>
        <v>9.6771085505801379E-6</v>
      </c>
      <c r="C7" s="32" t="s">
        <v>16</v>
      </c>
      <c r="D7" s="73" t="s">
        <v>13</v>
      </c>
      <c r="E7" s="73"/>
      <c r="F7" s="73"/>
      <c r="G7" s="73"/>
    </row>
    <row r="8" spans="1:7" x14ac:dyDescent="0.35">
      <c r="A8" s="27" t="s">
        <v>75</v>
      </c>
      <c r="B8" s="38">
        <v>90</v>
      </c>
      <c r="C8" s="32" t="s">
        <v>2</v>
      </c>
      <c r="D8" s="73" t="s">
        <v>14</v>
      </c>
      <c r="E8" s="73"/>
      <c r="F8" s="73"/>
      <c r="G8" s="73"/>
    </row>
    <row r="9" spans="1:7" ht="29" customHeight="1" x14ac:dyDescent="0.35">
      <c r="A9" s="31" t="s">
        <v>80</v>
      </c>
      <c r="B9" s="36">
        <f>EXP(23.58-((4044.2)/(235.6+B4)))</f>
        <v>5320.1573567641681</v>
      </c>
      <c r="C9" s="32" t="s">
        <v>1</v>
      </c>
      <c r="D9" s="76" t="s">
        <v>79</v>
      </c>
      <c r="E9" s="76"/>
      <c r="F9" s="76"/>
      <c r="G9" s="76"/>
    </row>
    <row r="10" spans="1:7" ht="29.5" customHeight="1" x14ac:dyDescent="0.35">
      <c r="A10" s="31" t="s">
        <v>78</v>
      </c>
      <c r="B10" s="36">
        <f>EXP(23.58-((4044.2)/(235.6+B3)))*B8/100</f>
        <v>2686.6680180468288</v>
      </c>
      <c r="C10" s="32" t="s">
        <v>1</v>
      </c>
      <c r="D10" s="76" t="s">
        <v>35</v>
      </c>
      <c r="E10" s="76"/>
      <c r="F10" s="76"/>
      <c r="G10" s="76"/>
    </row>
    <row r="11" spans="1:7" x14ac:dyDescent="0.35">
      <c r="A11" s="31" t="s">
        <v>99</v>
      </c>
      <c r="B11" s="38">
        <v>101325</v>
      </c>
      <c r="C11" s="32" t="s">
        <v>1</v>
      </c>
      <c r="D11" s="73" t="s">
        <v>15</v>
      </c>
      <c r="E11" s="73"/>
      <c r="F11" s="73"/>
      <c r="G11" s="73"/>
    </row>
    <row r="12" spans="1:7" x14ac:dyDescent="0.35">
      <c r="A12" s="32" t="s">
        <v>127</v>
      </c>
      <c r="B12" s="51">
        <f>0.622*((B8/100)*(EXP(23.58-(4044.2/(235+B3))))/(B11-(B7/100)*(EXP(23.58-(4044.2/(235+B3))))))</f>
        <v>1.5907955240002533E-2</v>
      </c>
      <c r="C12" s="32" t="s">
        <v>128</v>
      </c>
      <c r="D12" s="77" t="s">
        <v>7</v>
      </c>
      <c r="E12" s="78"/>
      <c r="F12" s="78"/>
      <c r="G12" s="78"/>
    </row>
    <row r="13" spans="1:7" x14ac:dyDescent="0.35">
      <c r="A13" s="71" t="s">
        <v>100</v>
      </c>
      <c r="B13" s="71"/>
      <c r="C13" s="71"/>
    </row>
    <row r="14" spans="1:7" x14ac:dyDescent="0.35">
      <c r="A14" s="50" t="s">
        <v>101</v>
      </c>
      <c r="B14" s="40">
        <f>B6/(1+(0.59329+0.52688*SQRT(B6/B7))*B13)+(B13*B7)/(B13+0.41554+0.46791*SQRT(B7/B6))</f>
        <v>1.8411894203571981E-5</v>
      </c>
      <c r="C14" s="32" t="s">
        <v>97</v>
      </c>
      <c r="D14" s="65" t="s">
        <v>17</v>
      </c>
      <c r="E14" s="65"/>
      <c r="F14" s="65"/>
      <c r="G14" s="65"/>
    </row>
    <row r="15" spans="1:7" x14ac:dyDescent="0.35">
      <c r="A15" s="70" t="s">
        <v>18</v>
      </c>
      <c r="B15" s="71"/>
      <c r="C15" s="71"/>
    </row>
    <row r="16" spans="1:7" x14ac:dyDescent="0.35">
      <c r="A16" s="29" t="s">
        <v>94</v>
      </c>
      <c r="B16" s="41">
        <f>(B10)/(461.52*(B3+273.15))</f>
        <v>1.9590600346549494E-2</v>
      </c>
      <c r="C16" s="32" t="s">
        <v>21</v>
      </c>
      <c r="D16" s="65" t="s">
        <v>20</v>
      </c>
      <c r="E16" s="65"/>
      <c r="F16" s="65"/>
      <c r="G16" s="65"/>
    </row>
    <row r="17" spans="1:8" x14ac:dyDescent="0.35">
      <c r="A17" s="50" t="s">
        <v>95</v>
      </c>
      <c r="B17" s="42">
        <f>(B11-B10)/(287.12*(B3+273.15))</f>
        <v>1.1561296510913441</v>
      </c>
      <c r="C17" s="32" t="s">
        <v>21</v>
      </c>
      <c r="D17" s="65" t="s">
        <v>19</v>
      </c>
      <c r="E17" s="65"/>
      <c r="F17" s="65"/>
      <c r="G17" s="65"/>
    </row>
    <row r="18" spans="1:8" x14ac:dyDescent="0.35">
      <c r="A18" s="29" t="s">
        <v>96</v>
      </c>
      <c r="B18" s="41">
        <f>B16+B17</f>
        <v>1.1757202514378937</v>
      </c>
      <c r="C18" s="32" t="s">
        <v>93</v>
      </c>
      <c r="D18" s="65" t="s">
        <v>22</v>
      </c>
      <c r="E18" s="65"/>
      <c r="F18" s="65"/>
      <c r="G18" s="65"/>
    </row>
    <row r="19" spans="1:8" x14ac:dyDescent="0.35">
      <c r="A19" s="70" t="s">
        <v>23</v>
      </c>
      <c r="B19" s="71"/>
      <c r="C19" s="71"/>
    </row>
    <row r="20" spans="1:8" x14ac:dyDescent="0.35">
      <c r="A20" s="49" t="s">
        <v>92</v>
      </c>
      <c r="B20" s="40">
        <f>B14/B18</f>
        <v>1.566009786856561E-5</v>
      </c>
      <c r="C20" s="32" t="s">
        <v>91</v>
      </c>
      <c r="D20" s="65" t="s">
        <v>24</v>
      </c>
      <c r="E20" s="65"/>
      <c r="F20" s="65"/>
      <c r="G20" s="65"/>
    </row>
    <row r="21" spans="1:8" x14ac:dyDescent="0.35">
      <c r="A21" s="45"/>
      <c r="B21" s="46"/>
      <c r="C21" s="46"/>
    </row>
    <row r="22" spans="1:8" x14ac:dyDescent="0.35">
      <c r="A22" s="69" t="s">
        <v>81</v>
      </c>
      <c r="B22" s="69"/>
      <c r="C22" s="69"/>
    </row>
    <row r="23" spans="1:8" x14ac:dyDescent="0.35">
      <c r="A23" s="49" t="s">
        <v>89</v>
      </c>
      <c r="B23" s="43">
        <v>0.767886826480766</v>
      </c>
      <c r="C23" s="32" t="s">
        <v>3</v>
      </c>
      <c r="D23" s="72" t="s">
        <v>82</v>
      </c>
      <c r="E23" s="65"/>
      <c r="F23" s="65"/>
      <c r="G23" s="65"/>
    </row>
    <row r="24" spans="1:8" x14ac:dyDescent="0.35">
      <c r="B24" s="44"/>
    </row>
    <row r="25" spans="1:8" x14ac:dyDescent="0.35">
      <c r="A25" s="69"/>
      <c r="B25" s="69"/>
      <c r="C25" s="69"/>
    </row>
    <row r="26" spans="1:8" x14ac:dyDescent="0.35">
      <c r="A26" s="79" t="s">
        <v>83</v>
      </c>
      <c r="B26" s="80"/>
      <c r="C26" s="80"/>
      <c r="G26" s="1" t="s">
        <v>27</v>
      </c>
    </row>
    <row r="27" spans="1:8" x14ac:dyDescent="0.35">
      <c r="A27" s="31" t="s">
        <v>90</v>
      </c>
      <c r="B27" s="47">
        <f>(0.0034*ABS(B4-B3)*9.81*B23^3)/(B20^2)</f>
        <v>615815522.83960271</v>
      </c>
      <c r="C27" s="26" t="s">
        <v>26</v>
      </c>
      <c r="D27" s="67" t="s">
        <v>58</v>
      </c>
      <c r="E27" s="67"/>
      <c r="F27" s="67"/>
      <c r="G27" s="67"/>
    </row>
    <row r="28" spans="1:8" x14ac:dyDescent="0.35">
      <c r="A28" t="s">
        <v>84</v>
      </c>
      <c r="B28" s="20"/>
    </row>
    <row r="29" spans="1:8" x14ac:dyDescent="0.35">
      <c r="A29" s="31" t="s">
        <v>86</v>
      </c>
      <c r="B29" s="40">
        <f>(2.19/B11)*((273+B3)/273)^(1.8)</f>
        <v>2.5153379689461466E-5</v>
      </c>
      <c r="C29" s="26" t="s">
        <v>25</v>
      </c>
      <c r="D29" s="67" t="s">
        <v>28</v>
      </c>
      <c r="E29" s="67"/>
      <c r="F29" s="67"/>
      <c r="G29" s="67"/>
      <c r="H29" s="67"/>
    </row>
    <row r="30" spans="1:8" x14ac:dyDescent="0.35">
      <c r="A30" s="31" t="s">
        <v>33</v>
      </c>
      <c r="B30" s="41">
        <f>B20/B29</f>
        <v>0.62258424362459475</v>
      </c>
      <c r="C30" s="26" t="s">
        <v>26</v>
      </c>
      <c r="D30" s="67" t="s">
        <v>29</v>
      </c>
      <c r="E30" s="67"/>
      <c r="F30" s="67"/>
      <c r="G30" s="67"/>
      <c r="H30" s="67"/>
    </row>
    <row r="31" spans="1:8" x14ac:dyDescent="0.35">
      <c r="A31" s="31" t="s">
        <v>87</v>
      </c>
      <c r="B31" s="40">
        <f>B29/(461.5*(273+B4))</f>
        <v>1.7753593253455109E-10</v>
      </c>
      <c r="C31" s="26" t="s">
        <v>85</v>
      </c>
      <c r="D31" s="67" t="s">
        <v>30</v>
      </c>
      <c r="E31" s="67"/>
      <c r="F31" s="67"/>
      <c r="G31" s="67"/>
      <c r="H31" s="67"/>
    </row>
    <row r="32" spans="1:8" x14ac:dyDescent="0.35">
      <c r="A32" s="31" t="s">
        <v>32</v>
      </c>
      <c r="B32" s="47">
        <f>0.66*(B30*B27)^0.26</f>
        <v>112.53629488056329</v>
      </c>
      <c r="C32" s="26" t="s">
        <v>26</v>
      </c>
      <c r="D32" s="67" t="s">
        <v>31</v>
      </c>
      <c r="E32" s="67"/>
      <c r="F32" s="67"/>
      <c r="G32" s="67"/>
      <c r="H32" s="67"/>
    </row>
    <row r="33" spans="1:8" x14ac:dyDescent="0.35">
      <c r="A33" s="29" t="s">
        <v>88</v>
      </c>
      <c r="B33" s="40">
        <f>(B32*B31)/B23</f>
        <v>2.6018464396855325E-8</v>
      </c>
      <c r="C33" s="26" t="s">
        <v>5</v>
      </c>
      <c r="D33" s="67" t="s">
        <v>4</v>
      </c>
      <c r="E33" s="67"/>
      <c r="F33" s="67"/>
      <c r="G33" s="67"/>
      <c r="H33" s="67"/>
    </row>
    <row r="34" spans="1:8" x14ac:dyDescent="0.35">
      <c r="A34" s="31" t="s">
        <v>142</v>
      </c>
      <c r="B34" s="48">
        <f>(B33*(B9-B10)*3600)*1000</f>
        <v>246.6696549560946</v>
      </c>
      <c r="C34" s="26" t="s">
        <v>120</v>
      </c>
      <c r="D34" s="67" t="s">
        <v>36</v>
      </c>
      <c r="E34" s="67"/>
      <c r="F34" s="67"/>
      <c r="G34" s="67"/>
      <c r="H34" s="67"/>
    </row>
    <row r="35" spans="1:8" x14ac:dyDescent="0.35">
      <c r="D35" s="4"/>
    </row>
  </sheetData>
  <mergeCells count="30">
    <mergeCell ref="D18:G18"/>
    <mergeCell ref="D20:G20"/>
    <mergeCell ref="A26:C26"/>
    <mergeCell ref="A13:C13"/>
    <mergeCell ref="A19:C19"/>
    <mergeCell ref="A25:C25"/>
    <mergeCell ref="A22:C22"/>
    <mergeCell ref="A15:C15"/>
    <mergeCell ref="D14:G14"/>
    <mergeCell ref="A1:C1"/>
    <mergeCell ref="D3:G3"/>
    <mergeCell ref="D4:G4"/>
    <mergeCell ref="D5:G5"/>
    <mergeCell ref="D6:G6"/>
    <mergeCell ref="D31:H31"/>
    <mergeCell ref="D32:H32"/>
    <mergeCell ref="D33:H33"/>
    <mergeCell ref="D34:H34"/>
    <mergeCell ref="D7:G7"/>
    <mergeCell ref="D27:G27"/>
    <mergeCell ref="D29:H29"/>
    <mergeCell ref="D30:H30"/>
    <mergeCell ref="D8:G8"/>
    <mergeCell ref="D9:G9"/>
    <mergeCell ref="D10:G10"/>
    <mergeCell ref="D11:G11"/>
    <mergeCell ref="D12:G12"/>
    <mergeCell ref="D23:G23"/>
    <mergeCell ref="D16:G16"/>
    <mergeCell ref="D17:G17"/>
  </mergeCells>
  <hyperlinks>
    <hyperlink ref="E2" r:id="rId1" xr:uid="{DCC0FE71-3D62-445B-9D9E-6E3A66944CA0}"/>
    <hyperlink ref="G26" r:id="rId2" xr:uid="{F6A063F8-CE56-4234-98AB-54E16C732273}"/>
  </hyperlinks>
  <pageMargins left="0.7" right="0.7" top="0.78740157499999996" bottom="0.78740157499999996" header="0.3" footer="0.3"/>
  <pageSetup paperSize="9" orientation="portrait" horizontalDpi="4294967293" verticalDpi="0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67864-760C-4B36-AC5A-369AE0263A9A}">
  <sheetPr codeName="List7"/>
  <dimension ref="A1:F14"/>
  <sheetViews>
    <sheetView workbookViewId="0">
      <selection activeCell="H9" sqref="H9"/>
    </sheetView>
  </sheetViews>
  <sheetFormatPr defaultRowHeight="14.5" x14ac:dyDescent="0.35"/>
  <sheetData>
    <row r="1" spans="1:6" ht="18.5" x14ac:dyDescent="0.45">
      <c r="A1" s="2" t="s">
        <v>64</v>
      </c>
    </row>
    <row r="2" spans="1:6" x14ac:dyDescent="0.35">
      <c r="A2" s="28" t="s">
        <v>133</v>
      </c>
      <c r="B2" s="35">
        <v>24</v>
      </c>
      <c r="C2" s="26" t="s">
        <v>0</v>
      </c>
      <c r="D2" s="73" t="s">
        <v>11</v>
      </c>
      <c r="E2" s="73"/>
      <c r="F2" s="73"/>
    </row>
    <row r="3" spans="1:6" x14ac:dyDescent="0.35">
      <c r="A3" s="29" t="s">
        <v>132</v>
      </c>
      <c r="B3" s="35">
        <v>34</v>
      </c>
      <c r="C3" s="26" t="s">
        <v>0</v>
      </c>
      <c r="D3" s="73" t="s">
        <v>34</v>
      </c>
      <c r="E3" s="73"/>
      <c r="F3" s="73"/>
    </row>
    <row r="4" spans="1:6" x14ac:dyDescent="0.35">
      <c r="A4" s="26" t="s">
        <v>134</v>
      </c>
      <c r="B4" s="34">
        <v>30</v>
      </c>
      <c r="C4" s="26" t="s">
        <v>8</v>
      </c>
      <c r="D4" s="73" t="s">
        <v>37</v>
      </c>
      <c r="E4" s="73"/>
      <c r="F4" s="73"/>
    </row>
    <row r="5" spans="1:6" x14ac:dyDescent="0.35">
      <c r="A5" s="26" t="s">
        <v>139</v>
      </c>
      <c r="B5" s="51">
        <f>0.622*((B7/100)*(EXP(23.58-(4044.2/(235+B2))))/(B8-(B7/100)*(EXP(23.58-(4044.2/(235+B2))))))</f>
        <v>1.6325487550781746E-2</v>
      </c>
      <c r="C5" s="26" t="s">
        <v>128</v>
      </c>
      <c r="D5" s="73" t="s">
        <v>7</v>
      </c>
      <c r="E5" s="73"/>
      <c r="F5" s="73"/>
    </row>
    <row r="6" spans="1:6" x14ac:dyDescent="0.35">
      <c r="A6" s="26" t="s">
        <v>138</v>
      </c>
      <c r="B6" s="51">
        <f>0.622*((EXP(23.58-(4044.2/(235+B3))))/(B8-(EXP(23.58-(4044.2/(235+B3))))))</f>
        <v>3.3273578041909023E-2</v>
      </c>
      <c r="C6" s="26" t="s">
        <v>128</v>
      </c>
      <c r="D6" s="73" t="s">
        <v>6</v>
      </c>
      <c r="E6" s="73"/>
      <c r="F6" s="73"/>
    </row>
    <row r="7" spans="1:6" x14ac:dyDescent="0.35">
      <c r="A7" s="27" t="s">
        <v>75</v>
      </c>
      <c r="B7" s="34">
        <v>90</v>
      </c>
      <c r="C7" s="26" t="s">
        <v>2</v>
      </c>
      <c r="D7" s="73" t="s">
        <v>14</v>
      </c>
      <c r="E7" s="73"/>
      <c r="F7" s="73"/>
    </row>
    <row r="8" spans="1:6" x14ac:dyDescent="0.35">
      <c r="A8" s="26" t="s">
        <v>140</v>
      </c>
      <c r="B8" s="34">
        <v>101325</v>
      </c>
      <c r="C8" s="26" t="s">
        <v>1</v>
      </c>
      <c r="D8" s="73" t="s">
        <v>15</v>
      </c>
      <c r="E8" s="73"/>
      <c r="F8" s="73"/>
    </row>
    <row r="9" spans="1:6" x14ac:dyDescent="0.35">
      <c r="A9" s="29" t="s">
        <v>143</v>
      </c>
      <c r="B9" s="34">
        <f>(B2+B3)/2</f>
        <v>29</v>
      </c>
      <c r="C9" s="26" t="s">
        <v>0</v>
      </c>
      <c r="D9" s="73" t="s">
        <v>65</v>
      </c>
      <c r="E9" s="73"/>
      <c r="F9" s="73"/>
    </row>
    <row r="10" spans="1:6" x14ac:dyDescent="0.35">
      <c r="A10" s="26" t="s">
        <v>66</v>
      </c>
      <c r="B10" s="42">
        <f>IF(B9&lt;22.5,1.16,IF(B9&gt;27.5,1.1,1.13))</f>
        <v>1.1000000000000001</v>
      </c>
      <c r="C10" s="26" t="s">
        <v>21</v>
      </c>
      <c r="D10" s="73" t="s">
        <v>6</v>
      </c>
      <c r="E10" s="73"/>
      <c r="F10" s="73"/>
    </row>
    <row r="11" spans="1:6" x14ac:dyDescent="0.35">
      <c r="A11" s="29" t="s">
        <v>73</v>
      </c>
      <c r="B11" s="52">
        <v>7</v>
      </c>
      <c r="C11" s="26" t="s">
        <v>61</v>
      </c>
      <c r="D11" s="73" t="s">
        <v>60</v>
      </c>
      <c r="E11" s="73"/>
      <c r="F11" s="73"/>
    </row>
    <row r="12" spans="1:6" x14ac:dyDescent="0.35">
      <c r="A12" s="26" t="s">
        <v>142</v>
      </c>
      <c r="B12" s="37">
        <f>(B11*B10*(B6-B5))*1000</f>
        <v>130.50029678168005</v>
      </c>
      <c r="C12" s="26" t="s">
        <v>120</v>
      </c>
      <c r="D12" s="74" t="s">
        <v>72</v>
      </c>
      <c r="E12" s="74"/>
      <c r="F12" s="74"/>
    </row>
    <row r="14" spans="1:6" x14ac:dyDescent="0.35">
      <c r="B14" s="22"/>
    </row>
  </sheetData>
  <mergeCells count="11">
    <mergeCell ref="D7:F7"/>
    <mergeCell ref="D2:F2"/>
    <mergeCell ref="D3:F3"/>
    <mergeCell ref="D4:F4"/>
    <mergeCell ref="D5:F5"/>
    <mergeCell ref="D6:F6"/>
    <mergeCell ref="D8:F8"/>
    <mergeCell ref="D9:F9"/>
    <mergeCell ref="D10:F10"/>
    <mergeCell ref="D11:F11"/>
    <mergeCell ref="D12:F1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Grafy</vt:lpstr>
      </vt:variant>
      <vt:variant>
        <vt:i4>4</vt:i4>
      </vt:variant>
    </vt:vector>
  </HeadingPairs>
  <TitlesOfParts>
    <vt:vector size="14" baseType="lpstr">
      <vt:lpstr>Tabulka</vt:lpstr>
      <vt:lpstr>Jodat</vt:lpstr>
      <vt:lpstr>K_T</vt:lpstr>
      <vt:lpstr>ASH_Carrier</vt:lpstr>
      <vt:lpstr>Shah</vt:lpstr>
      <vt:lpstr>ASH_Smedegard</vt:lpstr>
      <vt:lpstr>K_MV</vt:lpstr>
      <vt:lpstr>VDI_2089</vt:lpstr>
      <vt:lpstr>Chyský_pri_krit_tl</vt:lpstr>
      <vt:lpstr>Fiedler-Kaluza</vt:lpstr>
      <vt:lpstr>Porovnání pro bazén 80%</vt:lpstr>
      <vt:lpstr>Porovnání pro bazén 90%</vt:lpstr>
      <vt:lpstr>Porovnání na zákledě měření</vt:lpstr>
      <vt:lpstr>Porovnání na zákledě měření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Uhlir, Tomas</dc:creator>
  <cp:lastModifiedBy>Uhlir, Tomas</cp:lastModifiedBy>
  <dcterms:created xsi:type="dcterms:W3CDTF">2024-09-13T16:31:45Z</dcterms:created>
  <dcterms:modified xsi:type="dcterms:W3CDTF">2025-04-29T17:51:47Z</dcterms:modified>
</cp:coreProperties>
</file>