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ml.chartshape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 checkCompatibility="1"/>
  <mc:AlternateContent xmlns:mc="http://schemas.openxmlformats.org/markup-compatibility/2006">
    <mc:Choice Requires="x15">
      <x15ac:absPath xmlns:x15ac="http://schemas.microsoft.com/office/spreadsheetml/2010/11/ac" url="/Users/lukasloukota/Desktop/School/Bachelors/0 KOS/"/>
    </mc:Choice>
  </mc:AlternateContent>
  <bookViews>
    <workbookView xWindow="0" yWindow="440" windowWidth="28800" windowHeight="16660" tabRatio="500" activeTab="4"/>
  </bookViews>
  <sheets>
    <sheet name="Teplárna" sheetId="1" r:id="rId1"/>
    <sheet name="Teplárna + FVE 18 kWp" sheetId="2" r:id="rId2"/>
    <sheet name="Teplárna + FVE 10 kWp" sheetId="6" r:id="rId3"/>
    <sheet name="NPV" sheetId="4" r:id="rId4"/>
    <sheet name="Diagram" sheetId="5" r:id="rId5"/>
    <sheet name="Citlivostní_analýza" sheetId="9" r:id="rId6"/>
    <sheet name="Citlivostní_analýza_data" sheetId="8" r:id="rId7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7" i="1" l="1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6" i="2"/>
  <c r="AE5" i="2"/>
  <c r="AE5" i="6"/>
  <c r="AG6" i="6"/>
  <c r="AF6" i="6"/>
  <c r="AH4" i="6"/>
  <c r="H31" i="4"/>
  <c r="G31" i="4"/>
  <c r="G11" i="6"/>
  <c r="C2" i="1"/>
  <c r="K8" i="1"/>
  <c r="F10" i="4"/>
  <c r="K9" i="1"/>
  <c r="F11" i="4"/>
  <c r="K10" i="1"/>
  <c r="F12" i="4"/>
  <c r="K11" i="1"/>
  <c r="F13" i="4"/>
  <c r="K12" i="1"/>
  <c r="F14" i="4"/>
  <c r="K13" i="1"/>
  <c r="F15" i="4"/>
  <c r="K14" i="1"/>
  <c r="F16" i="4"/>
  <c r="K15" i="1"/>
  <c r="F17" i="4"/>
  <c r="K16" i="1"/>
  <c r="F18" i="4"/>
  <c r="K17" i="1"/>
  <c r="F19" i="4"/>
  <c r="K18" i="1"/>
  <c r="F20" i="4"/>
  <c r="K19" i="1"/>
  <c r="F21" i="4"/>
  <c r="K20" i="1"/>
  <c r="F22" i="4"/>
  <c r="K21" i="1"/>
  <c r="F23" i="4"/>
  <c r="K22" i="1"/>
  <c r="F24" i="4"/>
  <c r="K23" i="1"/>
  <c r="F25" i="4"/>
  <c r="K24" i="1"/>
  <c r="F26" i="4"/>
  <c r="K25" i="1"/>
  <c r="F27" i="4"/>
  <c r="K26" i="1"/>
  <c r="F28" i="4"/>
  <c r="K27" i="1"/>
  <c r="F29" i="4"/>
  <c r="F30" i="4"/>
  <c r="D29" i="2"/>
  <c r="G10" i="4"/>
  <c r="D30" i="2"/>
  <c r="G11" i="4"/>
  <c r="D31" i="2"/>
  <c r="G12" i="4"/>
  <c r="D32" i="2"/>
  <c r="G13" i="4"/>
  <c r="D33" i="2"/>
  <c r="G14" i="4"/>
  <c r="D34" i="2"/>
  <c r="G15" i="4"/>
  <c r="D35" i="2"/>
  <c r="G16" i="4"/>
  <c r="D36" i="2"/>
  <c r="G17" i="4"/>
  <c r="D37" i="2"/>
  <c r="G18" i="4"/>
  <c r="D38" i="2"/>
  <c r="G19" i="4"/>
  <c r="D39" i="2"/>
  <c r="G20" i="4"/>
  <c r="D40" i="2"/>
  <c r="G21" i="4"/>
  <c r="D41" i="2"/>
  <c r="G22" i="4"/>
  <c r="D42" i="2"/>
  <c r="G23" i="4"/>
  <c r="D43" i="2"/>
  <c r="G24" i="4"/>
  <c r="D44" i="2"/>
  <c r="G25" i="4"/>
  <c r="D45" i="2"/>
  <c r="G26" i="4"/>
  <c r="D46" i="2"/>
  <c r="G27" i="4"/>
  <c r="D47" i="2"/>
  <c r="G28" i="4"/>
  <c r="D48" i="2"/>
  <c r="G29" i="4"/>
  <c r="G9" i="4"/>
  <c r="G30" i="4"/>
  <c r="D23" i="6"/>
  <c r="I10" i="6"/>
  <c r="I11" i="6"/>
  <c r="D22" i="2"/>
  <c r="H10" i="2"/>
  <c r="I12" i="6"/>
  <c r="H11" i="2"/>
  <c r="H12" i="2"/>
  <c r="E30" i="6"/>
  <c r="D30" i="6"/>
  <c r="H10" i="4"/>
  <c r="E31" i="6"/>
  <c r="D31" i="6"/>
  <c r="H11" i="4"/>
  <c r="E32" i="6"/>
  <c r="D32" i="6"/>
  <c r="H12" i="4"/>
  <c r="E33" i="6"/>
  <c r="D33" i="6"/>
  <c r="H13" i="4"/>
  <c r="E34" i="6"/>
  <c r="D34" i="6"/>
  <c r="H14" i="4"/>
  <c r="E35" i="6"/>
  <c r="D35" i="6"/>
  <c r="H15" i="4"/>
  <c r="E36" i="6"/>
  <c r="D36" i="6"/>
  <c r="H16" i="4"/>
  <c r="E37" i="6"/>
  <c r="D37" i="6"/>
  <c r="H17" i="4"/>
  <c r="E38" i="6"/>
  <c r="D38" i="6"/>
  <c r="H18" i="4"/>
  <c r="E39" i="6"/>
  <c r="D39" i="6"/>
  <c r="H19" i="4"/>
  <c r="E40" i="6"/>
  <c r="D40" i="6"/>
  <c r="H20" i="4"/>
  <c r="E41" i="6"/>
  <c r="D41" i="6"/>
  <c r="H21" i="4"/>
  <c r="E42" i="6"/>
  <c r="D42" i="6"/>
  <c r="H22" i="4"/>
  <c r="E43" i="6"/>
  <c r="D43" i="6"/>
  <c r="H23" i="4"/>
  <c r="E44" i="6"/>
  <c r="D44" i="6"/>
  <c r="H24" i="4"/>
  <c r="E45" i="6"/>
  <c r="D45" i="6"/>
  <c r="H25" i="4"/>
  <c r="E46" i="6"/>
  <c r="D46" i="6"/>
  <c r="H26" i="4"/>
  <c r="E47" i="6"/>
  <c r="D47" i="6"/>
  <c r="H27" i="4"/>
  <c r="E48" i="6"/>
  <c r="D48" i="6"/>
  <c r="H28" i="4"/>
  <c r="E49" i="6"/>
  <c r="D49" i="6"/>
  <c r="H29" i="4"/>
  <c r="H9" i="4"/>
  <c r="L62" i="8"/>
  <c r="L63" i="8"/>
  <c r="M63" i="8"/>
  <c r="D56" i="9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J62" i="8"/>
  <c r="J63" i="8"/>
  <c r="K63" i="8"/>
  <c r="C56" i="9"/>
  <c r="B56" i="9"/>
  <c r="J64" i="8"/>
  <c r="L64" i="8"/>
  <c r="M64" i="8"/>
  <c r="D57" i="9"/>
  <c r="L65" i="8"/>
  <c r="M65" i="8"/>
  <c r="D58" i="9"/>
  <c r="L66" i="8"/>
  <c r="M66" i="8"/>
  <c r="D59" i="9"/>
  <c r="L67" i="8"/>
  <c r="M67" i="8"/>
  <c r="D60" i="9"/>
  <c r="L68" i="8"/>
  <c r="M68" i="8"/>
  <c r="D61" i="9"/>
  <c r="L69" i="8"/>
  <c r="M69" i="8"/>
  <c r="D62" i="9"/>
  <c r="L70" i="8"/>
  <c r="M70" i="8"/>
  <c r="D63" i="9"/>
  <c r="M62" i="8"/>
  <c r="D55" i="9"/>
  <c r="K64" i="8"/>
  <c r="C57" i="9"/>
  <c r="J65" i="8"/>
  <c r="K65" i="8"/>
  <c r="C58" i="9"/>
  <c r="J66" i="8"/>
  <c r="K66" i="8"/>
  <c r="C59" i="9"/>
  <c r="J67" i="8"/>
  <c r="K67" i="8"/>
  <c r="C60" i="9"/>
  <c r="J68" i="8"/>
  <c r="K68" i="8"/>
  <c r="C61" i="9"/>
  <c r="J69" i="8"/>
  <c r="K69" i="8"/>
  <c r="C62" i="9"/>
  <c r="J70" i="8"/>
  <c r="K70" i="8"/>
  <c r="C63" i="9"/>
  <c r="K62" i="8"/>
  <c r="C55" i="9"/>
  <c r="B59" i="9"/>
  <c r="B60" i="9"/>
  <c r="B61" i="9"/>
  <c r="B62" i="9"/>
  <c r="B63" i="9"/>
  <c r="B57" i="9"/>
  <c r="B58" i="9"/>
  <c r="B55" i="9"/>
  <c r="B1" i="5"/>
  <c r="E1" i="5"/>
  <c r="C22" i="5"/>
  <c r="C24" i="5"/>
  <c r="C26" i="5"/>
  <c r="C28" i="5"/>
  <c r="L6" i="5"/>
  <c r="N6" i="5"/>
  <c r="O6" i="5"/>
  <c r="L7" i="5"/>
  <c r="N7" i="5"/>
  <c r="O7" i="5"/>
  <c r="L8" i="5"/>
  <c r="N8" i="5"/>
  <c r="O8" i="5"/>
  <c r="L9" i="5"/>
  <c r="N9" i="5"/>
  <c r="O9" i="5"/>
  <c r="L10" i="5"/>
  <c r="N10" i="5"/>
  <c r="O10" i="5"/>
  <c r="C21" i="5"/>
  <c r="L11" i="5"/>
  <c r="N11" i="5"/>
  <c r="O11" i="5"/>
  <c r="L12" i="5"/>
  <c r="N12" i="5"/>
  <c r="O12" i="5"/>
  <c r="L13" i="5"/>
  <c r="N13" i="5"/>
  <c r="O13" i="5"/>
  <c r="L14" i="5"/>
  <c r="N14" i="5"/>
  <c r="O14" i="5"/>
  <c r="L15" i="5"/>
  <c r="N15" i="5"/>
  <c r="O15" i="5"/>
  <c r="L16" i="5"/>
  <c r="N16" i="5"/>
  <c r="O16" i="5"/>
  <c r="L17" i="5"/>
  <c r="N17" i="5"/>
  <c r="O17" i="5"/>
  <c r="O18" i="5"/>
  <c r="N18" i="5"/>
  <c r="M18" i="5"/>
  <c r="L18" i="5"/>
  <c r="D20" i="2"/>
  <c r="D21" i="2"/>
  <c r="D19" i="2"/>
  <c r="D19" i="6"/>
  <c r="D20" i="6"/>
  <c r="G39" i="6"/>
  <c r="I39" i="6"/>
  <c r="C39" i="6"/>
  <c r="D21" i="6"/>
  <c r="G30" i="6"/>
  <c r="I30" i="6"/>
  <c r="C30" i="6"/>
  <c r="G31" i="6"/>
  <c r="I31" i="6"/>
  <c r="C31" i="6"/>
  <c r="G32" i="6"/>
  <c r="I32" i="6"/>
  <c r="C32" i="6"/>
  <c r="G33" i="6"/>
  <c r="I33" i="6"/>
  <c r="C33" i="6"/>
  <c r="G34" i="6"/>
  <c r="I34" i="6"/>
  <c r="C34" i="6"/>
  <c r="G35" i="6"/>
  <c r="I35" i="6"/>
  <c r="C35" i="6"/>
  <c r="G36" i="6"/>
  <c r="I36" i="6"/>
  <c r="C36" i="6"/>
  <c r="G37" i="6"/>
  <c r="I37" i="6"/>
  <c r="C37" i="6"/>
  <c r="G38" i="6"/>
  <c r="I38" i="6"/>
  <c r="C38" i="6"/>
  <c r="G40" i="6"/>
  <c r="I40" i="6"/>
  <c r="C40" i="6"/>
  <c r="G41" i="6"/>
  <c r="I41" i="6"/>
  <c r="C41" i="6"/>
  <c r="G42" i="6"/>
  <c r="I42" i="6"/>
  <c r="C42" i="6"/>
  <c r="G43" i="6"/>
  <c r="I43" i="6"/>
  <c r="C43" i="6"/>
  <c r="G44" i="6"/>
  <c r="I44" i="6"/>
  <c r="C44" i="6"/>
  <c r="G45" i="6"/>
  <c r="I45" i="6"/>
  <c r="C45" i="6"/>
  <c r="G46" i="6"/>
  <c r="I46" i="6"/>
  <c r="C46" i="6"/>
  <c r="G47" i="6"/>
  <c r="I47" i="6"/>
  <c r="C47" i="6"/>
  <c r="G48" i="6"/>
  <c r="I48" i="6"/>
  <c r="C48" i="6"/>
  <c r="G49" i="6"/>
  <c r="I49" i="6"/>
  <c r="C49" i="6"/>
  <c r="D82" i="8"/>
  <c r="D28" i="9"/>
  <c r="D81" i="8"/>
  <c r="D29" i="9"/>
  <c r="D80" i="8"/>
  <c r="D30" i="9"/>
  <c r="D79" i="8"/>
  <c r="D31" i="9"/>
  <c r="D78" i="8"/>
  <c r="D32" i="9"/>
  <c r="D77" i="8"/>
  <c r="D33" i="9"/>
  <c r="D76" i="8"/>
  <c r="D34" i="9"/>
  <c r="D75" i="8"/>
  <c r="D35" i="9"/>
  <c r="D74" i="8"/>
  <c r="D36" i="9"/>
  <c r="C38" i="2"/>
  <c r="C29" i="2"/>
  <c r="C30" i="2"/>
  <c r="C31" i="2"/>
  <c r="C32" i="2"/>
  <c r="C33" i="2"/>
  <c r="C34" i="2"/>
  <c r="C35" i="2"/>
  <c r="C36" i="2"/>
  <c r="C37" i="2"/>
  <c r="C39" i="2"/>
  <c r="C40" i="2"/>
  <c r="C41" i="2"/>
  <c r="C42" i="2"/>
  <c r="C43" i="2"/>
  <c r="C44" i="2"/>
  <c r="C45" i="2"/>
  <c r="C46" i="2"/>
  <c r="C47" i="2"/>
  <c r="C48" i="2"/>
  <c r="C82" i="8"/>
  <c r="C28" i="9"/>
  <c r="C81" i="8"/>
  <c r="C29" i="9"/>
  <c r="C80" i="8"/>
  <c r="C30" i="9"/>
  <c r="C79" i="8"/>
  <c r="C31" i="9"/>
  <c r="C78" i="8"/>
  <c r="C32" i="9"/>
  <c r="C77" i="8"/>
  <c r="C33" i="9"/>
  <c r="C76" i="8"/>
  <c r="C34" i="9"/>
  <c r="C75" i="8"/>
  <c r="C35" i="9"/>
  <c r="C74" i="8"/>
  <c r="C36" i="9"/>
  <c r="B74" i="8"/>
  <c r="B36" i="9"/>
  <c r="B75" i="8"/>
  <c r="B35" i="9"/>
  <c r="B76" i="8"/>
  <c r="B34" i="9"/>
  <c r="B77" i="8"/>
  <c r="B33" i="9"/>
  <c r="B78" i="8"/>
  <c r="B32" i="9"/>
  <c r="B79" i="8"/>
  <c r="B31" i="9"/>
  <c r="B80" i="8"/>
  <c r="B30" i="9"/>
  <c r="B81" i="8"/>
  <c r="B29" i="9"/>
  <c r="D83" i="8"/>
  <c r="D27" i="9"/>
  <c r="C83" i="8"/>
  <c r="C27" i="9"/>
  <c r="B82" i="8"/>
  <c r="B28" i="9"/>
  <c r="B83" i="8"/>
  <c r="B27" i="9"/>
  <c r="C62" i="8"/>
  <c r="C37" i="9"/>
  <c r="D62" i="8"/>
  <c r="D37" i="9"/>
  <c r="C63" i="8"/>
  <c r="C38" i="9"/>
  <c r="D63" i="8"/>
  <c r="D38" i="9"/>
  <c r="C64" i="8"/>
  <c r="C39" i="9"/>
  <c r="D64" i="8"/>
  <c r="D39" i="9"/>
  <c r="C65" i="8"/>
  <c r="C40" i="9"/>
  <c r="D65" i="8"/>
  <c r="D40" i="9"/>
  <c r="C66" i="8"/>
  <c r="C41" i="9"/>
  <c r="D66" i="8"/>
  <c r="D41" i="9"/>
  <c r="C67" i="8"/>
  <c r="C42" i="9"/>
  <c r="D67" i="8"/>
  <c r="D42" i="9"/>
  <c r="C68" i="8"/>
  <c r="C43" i="9"/>
  <c r="D68" i="8"/>
  <c r="D43" i="9"/>
  <c r="C69" i="8"/>
  <c r="C44" i="9"/>
  <c r="D69" i="8"/>
  <c r="D44" i="9"/>
  <c r="C70" i="8"/>
  <c r="C45" i="9"/>
  <c r="D70" i="8"/>
  <c r="D45" i="9"/>
  <c r="C71" i="8"/>
  <c r="C46" i="9"/>
  <c r="D71" i="8"/>
  <c r="D46" i="9"/>
  <c r="C72" i="8"/>
  <c r="C47" i="9"/>
  <c r="D72" i="8"/>
  <c r="D47" i="9"/>
  <c r="B63" i="8"/>
  <c r="B38" i="9"/>
  <c r="B64" i="8"/>
  <c r="B39" i="9"/>
  <c r="B65" i="8"/>
  <c r="B40" i="9"/>
  <c r="B66" i="8"/>
  <c r="B41" i="9"/>
  <c r="B67" i="8"/>
  <c r="B42" i="9"/>
  <c r="B68" i="8"/>
  <c r="B43" i="9"/>
  <c r="B69" i="8"/>
  <c r="B44" i="9"/>
  <c r="B70" i="8"/>
  <c r="B45" i="9"/>
  <c r="B71" i="8"/>
  <c r="B46" i="9"/>
  <c r="B72" i="8"/>
  <c r="B47" i="9"/>
  <c r="B62" i="8"/>
  <c r="B37" i="9"/>
  <c r="L32" i="8"/>
  <c r="C7" i="1"/>
  <c r="L5" i="8"/>
  <c r="L6" i="8"/>
  <c r="L7" i="8"/>
  <c r="L8" i="8"/>
  <c r="L9" i="8"/>
  <c r="L10" i="8"/>
  <c r="L11" i="8"/>
  <c r="L12" i="8"/>
  <c r="L13" i="8"/>
  <c r="L14" i="8"/>
  <c r="L15" i="8"/>
  <c r="G2" i="8"/>
  <c r="L42" i="8"/>
  <c r="L33" i="8"/>
  <c r="L34" i="8"/>
  <c r="L35" i="8"/>
  <c r="L36" i="8"/>
  <c r="L37" i="8"/>
  <c r="L38" i="8"/>
  <c r="L39" i="8"/>
  <c r="L40" i="8"/>
  <c r="L41" i="8"/>
  <c r="L16" i="8"/>
  <c r="L43" i="8"/>
  <c r="L17" i="8"/>
  <c r="L44" i="8"/>
  <c r="L18" i="8"/>
  <c r="L45" i="8"/>
  <c r="L19" i="8"/>
  <c r="L46" i="8"/>
  <c r="L20" i="8"/>
  <c r="L47" i="8"/>
  <c r="L21" i="8"/>
  <c r="L48" i="8"/>
  <c r="L22" i="8"/>
  <c r="L49" i="8"/>
  <c r="L23" i="8"/>
  <c r="L50" i="8"/>
  <c r="L24" i="8"/>
  <c r="L51" i="8"/>
  <c r="L25" i="8"/>
  <c r="L52" i="8"/>
  <c r="L53" i="8"/>
  <c r="D15" i="9"/>
  <c r="K5" i="8"/>
  <c r="K6" i="8"/>
  <c r="K7" i="8"/>
  <c r="K8" i="8"/>
  <c r="K9" i="8"/>
  <c r="K10" i="8"/>
  <c r="K11" i="8"/>
  <c r="K12" i="8"/>
  <c r="K13" i="8"/>
  <c r="K14" i="8"/>
  <c r="K15" i="8"/>
  <c r="K42" i="8"/>
  <c r="K32" i="8"/>
  <c r="K33" i="8"/>
  <c r="K34" i="8"/>
  <c r="K35" i="8"/>
  <c r="K36" i="8"/>
  <c r="K37" i="8"/>
  <c r="K38" i="8"/>
  <c r="K39" i="8"/>
  <c r="K40" i="8"/>
  <c r="K41" i="8"/>
  <c r="K16" i="8"/>
  <c r="K43" i="8"/>
  <c r="K17" i="8"/>
  <c r="K44" i="8"/>
  <c r="K18" i="8"/>
  <c r="K45" i="8"/>
  <c r="K19" i="8"/>
  <c r="K46" i="8"/>
  <c r="K20" i="8"/>
  <c r="K47" i="8"/>
  <c r="K21" i="8"/>
  <c r="K48" i="8"/>
  <c r="K22" i="8"/>
  <c r="K49" i="8"/>
  <c r="K23" i="8"/>
  <c r="K50" i="8"/>
  <c r="K24" i="8"/>
  <c r="K51" i="8"/>
  <c r="K25" i="8"/>
  <c r="K52" i="8"/>
  <c r="K53" i="8"/>
  <c r="D14" i="9"/>
  <c r="J5" i="8"/>
  <c r="J6" i="8"/>
  <c r="J7" i="8"/>
  <c r="J8" i="8"/>
  <c r="J9" i="8"/>
  <c r="J10" i="8"/>
  <c r="J11" i="8"/>
  <c r="J12" i="8"/>
  <c r="J13" i="8"/>
  <c r="J14" i="8"/>
  <c r="J15" i="8"/>
  <c r="J42" i="8"/>
  <c r="J32" i="8"/>
  <c r="J33" i="8"/>
  <c r="J34" i="8"/>
  <c r="J35" i="8"/>
  <c r="J36" i="8"/>
  <c r="J37" i="8"/>
  <c r="J38" i="8"/>
  <c r="J39" i="8"/>
  <c r="J40" i="8"/>
  <c r="J41" i="8"/>
  <c r="J16" i="8"/>
  <c r="J43" i="8"/>
  <c r="J17" i="8"/>
  <c r="J44" i="8"/>
  <c r="J18" i="8"/>
  <c r="J45" i="8"/>
  <c r="J19" i="8"/>
  <c r="J46" i="8"/>
  <c r="J20" i="8"/>
  <c r="J47" i="8"/>
  <c r="J21" i="8"/>
  <c r="J48" i="8"/>
  <c r="J22" i="8"/>
  <c r="J49" i="8"/>
  <c r="J23" i="8"/>
  <c r="J50" i="8"/>
  <c r="J24" i="8"/>
  <c r="J51" i="8"/>
  <c r="J25" i="8"/>
  <c r="J52" i="8"/>
  <c r="J53" i="8"/>
  <c r="D13" i="9"/>
  <c r="I5" i="8"/>
  <c r="I6" i="8"/>
  <c r="I7" i="8"/>
  <c r="I8" i="8"/>
  <c r="I9" i="8"/>
  <c r="I10" i="8"/>
  <c r="I11" i="8"/>
  <c r="I12" i="8"/>
  <c r="I13" i="8"/>
  <c r="I14" i="8"/>
  <c r="I15" i="8"/>
  <c r="I42" i="8"/>
  <c r="I32" i="8"/>
  <c r="I33" i="8"/>
  <c r="I34" i="8"/>
  <c r="I35" i="8"/>
  <c r="I36" i="8"/>
  <c r="I37" i="8"/>
  <c r="I38" i="8"/>
  <c r="I39" i="8"/>
  <c r="I40" i="8"/>
  <c r="I41" i="8"/>
  <c r="I16" i="8"/>
  <c r="I43" i="8"/>
  <c r="I17" i="8"/>
  <c r="I44" i="8"/>
  <c r="I18" i="8"/>
  <c r="I45" i="8"/>
  <c r="I19" i="8"/>
  <c r="I46" i="8"/>
  <c r="I20" i="8"/>
  <c r="I47" i="8"/>
  <c r="I21" i="8"/>
  <c r="I48" i="8"/>
  <c r="I22" i="8"/>
  <c r="I49" i="8"/>
  <c r="I23" i="8"/>
  <c r="I50" i="8"/>
  <c r="I24" i="8"/>
  <c r="I51" i="8"/>
  <c r="I25" i="8"/>
  <c r="I52" i="8"/>
  <c r="I53" i="8"/>
  <c r="D12" i="9"/>
  <c r="H5" i="8"/>
  <c r="H6" i="8"/>
  <c r="H7" i="8"/>
  <c r="H8" i="8"/>
  <c r="H9" i="8"/>
  <c r="H10" i="8"/>
  <c r="H11" i="8"/>
  <c r="H12" i="8"/>
  <c r="H13" i="8"/>
  <c r="H14" i="8"/>
  <c r="H15" i="8"/>
  <c r="H42" i="8"/>
  <c r="H32" i="8"/>
  <c r="H33" i="8"/>
  <c r="H34" i="8"/>
  <c r="H35" i="8"/>
  <c r="H36" i="8"/>
  <c r="H37" i="8"/>
  <c r="H38" i="8"/>
  <c r="H39" i="8"/>
  <c r="H40" i="8"/>
  <c r="H41" i="8"/>
  <c r="H16" i="8"/>
  <c r="H43" i="8"/>
  <c r="H17" i="8"/>
  <c r="H44" i="8"/>
  <c r="H18" i="8"/>
  <c r="H45" i="8"/>
  <c r="H19" i="8"/>
  <c r="H46" i="8"/>
  <c r="H20" i="8"/>
  <c r="H47" i="8"/>
  <c r="H21" i="8"/>
  <c r="H48" i="8"/>
  <c r="H22" i="8"/>
  <c r="H49" i="8"/>
  <c r="H23" i="8"/>
  <c r="H50" i="8"/>
  <c r="H24" i="8"/>
  <c r="H51" i="8"/>
  <c r="H25" i="8"/>
  <c r="H52" i="8"/>
  <c r="H53" i="8"/>
  <c r="D11" i="9"/>
  <c r="G5" i="8"/>
  <c r="G6" i="8"/>
  <c r="G7" i="8"/>
  <c r="G8" i="8"/>
  <c r="G9" i="8"/>
  <c r="G10" i="8"/>
  <c r="G11" i="8"/>
  <c r="G12" i="8"/>
  <c r="G13" i="8"/>
  <c r="G14" i="8"/>
  <c r="G15" i="8"/>
  <c r="G42" i="8"/>
  <c r="G32" i="8"/>
  <c r="G33" i="8"/>
  <c r="G34" i="8"/>
  <c r="G35" i="8"/>
  <c r="G36" i="8"/>
  <c r="G37" i="8"/>
  <c r="G38" i="8"/>
  <c r="G39" i="8"/>
  <c r="G40" i="8"/>
  <c r="G41" i="8"/>
  <c r="G16" i="8"/>
  <c r="G43" i="8"/>
  <c r="G17" i="8"/>
  <c r="G44" i="8"/>
  <c r="G18" i="8"/>
  <c r="G45" i="8"/>
  <c r="G19" i="8"/>
  <c r="G46" i="8"/>
  <c r="G20" i="8"/>
  <c r="G47" i="8"/>
  <c r="G21" i="8"/>
  <c r="G48" i="8"/>
  <c r="G22" i="8"/>
  <c r="G49" i="8"/>
  <c r="G23" i="8"/>
  <c r="G50" i="8"/>
  <c r="G24" i="8"/>
  <c r="G51" i="8"/>
  <c r="G25" i="8"/>
  <c r="G52" i="8"/>
  <c r="G53" i="8"/>
  <c r="D10" i="9"/>
  <c r="F5" i="8"/>
  <c r="F6" i="8"/>
  <c r="F7" i="8"/>
  <c r="F8" i="8"/>
  <c r="F9" i="8"/>
  <c r="F10" i="8"/>
  <c r="F11" i="8"/>
  <c r="F12" i="8"/>
  <c r="F13" i="8"/>
  <c r="F14" i="8"/>
  <c r="F15" i="8"/>
  <c r="F42" i="8"/>
  <c r="F32" i="8"/>
  <c r="F33" i="8"/>
  <c r="F34" i="8"/>
  <c r="F35" i="8"/>
  <c r="F36" i="8"/>
  <c r="F37" i="8"/>
  <c r="F38" i="8"/>
  <c r="F39" i="8"/>
  <c r="F40" i="8"/>
  <c r="F41" i="8"/>
  <c r="F16" i="8"/>
  <c r="F43" i="8"/>
  <c r="F17" i="8"/>
  <c r="F44" i="8"/>
  <c r="F18" i="8"/>
  <c r="F45" i="8"/>
  <c r="F19" i="8"/>
  <c r="F46" i="8"/>
  <c r="F20" i="8"/>
  <c r="F47" i="8"/>
  <c r="F21" i="8"/>
  <c r="F48" i="8"/>
  <c r="F22" i="8"/>
  <c r="F49" i="8"/>
  <c r="F23" i="8"/>
  <c r="F50" i="8"/>
  <c r="F24" i="8"/>
  <c r="F51" i="8"/>
  <c r="F25" i="8"/>
  <c r="F52" i="8"/>
  <c r="F53" i="8"/>
  <c r="D9" i="9"/>
  <c r="E5" i="8"/>
  <c r="E6" i="8"/>
  <c r="E7" i="8"/>
  <c r="E8" i="8"/>
  <c r="E9" i="8"/>
  <c r="E10" i="8"/>
  <c r="E11" i="8"/>
  <c r="E12" i="8"/>
  <c r="E13" i="8"/>
  <c r="E14" i="8"/>
  <c r="E15" i="8"/>
  <c r="E42" i="8"/>
  <c r="E32" i="8"/>
  <c r="E33" i="8"/>
  <c r="E34" i="8"/>
  <c r="E35" i="8"/>
  <c r="E36" i="8"/>
  <c r="E37" i="8"/>
  <c r="E38" i="8"/>
  <c r="E39" i="8"/>
  <c r="E40" i="8"/>
  <c r="E41" i="8"/>
  <c r="E16" i="8"/>
  <c r="E43" i="8"/>
  <c r="E17" i="8"/>
  <c r="E44" i="8"/>
  <c r="E18" i="8"/>
  <c r="E45" i="8"/>
  <c r="E19" i="8"/>
  <c r="E46" i="8"/>
  <c r="E20" i="8"/>
  <c r="E47" i="8"/>
  <c r="E21" i="8"/>
  <c r="E48" i="8"/>
  <c r="E22" i="8"/>
  <c r="E49" i="8"/>
  <c r="E23" i="8"/>
  <c r="E50" i="8"/>
  <c r="E24" i="8"/>
  <c r="E51" i="8"/>
  <c r="E25" i="8"/>
  <c r="E52" i="8"/>
  <c r="E53" i="8"/>
  <c r="D8" i="9"/>
  <c r="D5" i="8"/>
  <c r="D6" i="8"/>
  <c r="D7" i="8"/>
  <c r="D8" i="8"/>
  <c r="D9" i="8"/>
  <c r="D10" i="8"/>
  <c r="D11" i="8"/>
  <c r="D12" i="8"/>
  <c r="D13" i="8"/>
  <c r="D14" i="8"/>
  <c r="D15" i="8"/>
  <c r="D42" i="8"/>
  <c r="D32" i="8"/>
  <c r="D33" i="8"/>
  <c r="D34" i="8"/>
  <c r="D35" i="8"/>
  <c r="D36" i="8"/>
  <c r="D37" i="8"/>
  <c r="D38" i="8"/>
  <c r="D39" i="8"/>
  <c r="D40" i="8"/>
  <c r="D41" i="8"/>
  <c r="D16" i="8"/>
  <c r="D43" i="8"/>
  <c r="D17" i="8"/>
  <c r="D44" i="8"/>
  <c r="D18" i="8"/>
  <c r="D45" i="8"/>
  <c r="D19" i="8"/>
  <c r="D46" i="8"/>
  <c r="D20" i="8"/>
  <c r="D47" i="8"/>
  <c r="D21" i="8"/>
  <c r="D48" i="8"/>
  <c r="D22" i="8"/>
  <c r="D49" i="8"/>
  <c r="D23" i="8"/>
  <c r="D50" i="8"/>
  <c r="D24" i="8"/>
  <c r="D51" i="8"/>
  <c r="D25" i="8"/>
  <c r="D52" i="8"/>
  <c r="D53" i="8"/>
  <c r="D7" i="9"/>
  <c r="C5" i="8"/>
  <c r="C6" i="8"/>
  <c r="C7" i="8"/>
  <c r="C8" i="8"/>
  <c r="C9" i="8"/>
  <c r="C10" i="8"/>
  <c r="C11" i="8"/>
  <c r="C12" i="8"/>
  <c r="C13" i="8"/>
  <c r="C14" i="8"/>
  <c r="C15" i="8"/>
  <c r="C42" i="8"/>
  <c r="C32" i="8"/>
  <c r="C33" i="8"/>
  <c r="C34" i="8"/>
  <c r="C35" i="8"/>
  <c r="C36" i="8"/>
  <c r="C37" i="8"/>
  <c r="C38" i="8"/>
  <c r="C39" i="8"/>
  <c r="C40" i="8"/>
  <c r="C41" i="8"/>
  <c r="C16" i="8"/>
  <c r="C43" i="8"/>
  <c r="C17" i="8"/>
  <c r="C44" i="8"/>
  <c r="C18" i="8"/>
  <c r="C45" i="8"/>
  <c r="C19" i="8"/>
  <c r="C46" i="8"/>
  <c r="C20" i="8"/>
  <c r="C47" i="8"/>
  <c r="C21" i="8"/>
  <c r="C48" i="8"/>
  <c r="C22" i="8"/>
  <c r="C49" i="8"/>
  <c r="C23" i="8"/>
  <c r="C50" i="8"/>
  <c r="C24" i="8"/>
  <c r="C51" i="8"/>
  <c r="C25" i="8"/>
  <c r="C52" i="8"/>
  <c r="C53" i="8"/>
  <c r="D6" i="9"/>
  <c r="B15" i="8"/>
  <c r="B42" i="8"/>
  <c r="B32" i="8"/>
  <c r="B6" i="8"/>
  <c r="B33" i="8"/>
  <c r="B7" i="8"/>
  <c r="B34" i="8"/>
  <c r="B8" i="8"/>
  <c r="B35" i="8"/>
  <c r="B9" i="8"/>
  <c r="B36" i="8"/>
  <c r="B10" i="8"/>
  <c r="B37" i="8"/>
  <c r="B11" i="8"/>
  <c r="B38" i="8"/>
  <c r="B12" i="8"/>
  <c r="B39" i="8"/>
  <c r="B13" i="8"/>
  <c r="B40" i="8"/>
  <c r="B14" i="8"/>
  <c r="B41" i="8"/>
  <c r="B16" i="8"/>
  <c r="B43" i="8"/>
  <c r="B17" i="8"/>
  <c r="B44" i="8"/>
  <c r="B18" i="8"/>
  <c r="B45" i="8"/>
  <c r="B19" i="8"/>
  <c r="B46" i="8"/>
  <c r="B20" i="8"/>
  <c r="B47" i="8"/>
  <c r="B21" i="8"/>
  <c r="B48" i="8"/>
  <c r="B22" i="8"/>
  <c r="B49" i="8"/>
  <c r="B23" i="8"/>
  <c r="B50" i="8"/>
  <c r="B24" i="8"/>
  <c r="B51" i="8"/>
  <c r="B25" i="8"/>
  <c r="B52" i="8"/>
  <c r="B53" i="8"/>
  <c r="D5" i="9"/>
  <c r="X15" i="8"/>
  <c r="X5" i="8"/>
  <c r="X6" i="8"/>
  <c r="X7" i="8"/>
  <c r="X8" i="8"/>
  <c r="X9" i="8"/>
  <c r="X10" i="8"/>
  <c r="X11" i="8"/>
  <c r="X12" i="8"/>
  <c r="X13" i="8"/>
  <c r="X14" i="8"/>
  <c r="X16" i="8"/>
  <c r="X17" i="8"/>
  <c r="X18" i="8"/>
  <c r="X19" i="8"/>
  <c r="X20" i="8"/>
  <c r="X21" i="8"/>
  <c r="X22" i="8"/>
  <c r="X23" i="8"/>
  <c r="X24" i="8"/>
  <c r="X25" i="8"/>
  <c r="X26" i="8"/>
  <c r="C15" i="9"/>
  <c r="W15" i="8"/>
  <c r="W5" i="8"/>
  <c r="W6" i="8"/>
  <c r="W7" i="8"/>
  <c r="W8" i="8"/>
  <c r="W9" i="8"/>
  <c r="W10" i="8"/>
  <c r="W11" i="8"/>
  <c r="W12" i="8"/>
  <c r="W13" i="8"/>
  <c r="W14" i="8"/>
  <c r="W16" i="8"/>
  <c r="W17" i="8"/>
  <c r="W18" i="8"/>
  <c r="W19" i="8"/>
  <c r="W20" i="8"/>
  <c r="W21" i="8"/>
  <c r="W22" i="8"/>
  <c r="W23" i="8"/>
  <c r="W24" i="8"/>
  <c r="W25" i="8"/>
  <c r="W26" i="8"/>
  <c r="C14" i="9"/>
  <c r="V15" i="8"/>
  <c r="V5" i="8"/>
  <c r="V6" i="8"/>
  <c r="V7" i="8"/>
  <c r="V8" i="8"/>
  <c r="V9" i="8"/>
  <c r="V10" i="8"/>
  <c r="V11" i="8"/>
  <c r="V12" i="8"/>
  <c r="V13" i="8"/>
  <c r="V14" i="8"/>
  <c r="V16" i="8"/>
  <c r="V17" i="8"/>
  <c r="V18" i="8"/>
  <c r="V19" i="8"/>
  <c r="V20" i="8"/>
  <c r="V21" i="8"/>
  <c r="V22" i="8"/>
  <c r="V23" i="8"/>
  <c r="V24" i="8"/>
  <c r="V25" i="8"/>
  <c r="V26" i="8"/>
  <c r="C13" i="9"/>
  <c r="U15" i="8"/>
  <c r="U5" i="8"/>
  <c r="U6" i="8"/>
  <c r="U7" i="8"/>
  <c r="U8" i="8"/>
  <c r="U9" i="8"/>
  <c r="U10" i="8"/>
  <c r="U11" i="8"/>
  <c r="U12" i="8"/>
  <c r="U13" i="8"/>
  <c r="U14" i="8"/>
  <c r="U16" i="8"/>
  <c r="U17" i="8"/>
  <c r="U18" i="8"/>
  <c r="U19" i="8"/>
  <c r="U20" i="8"/>
  <c r="U21" i="8"/>
  <c r="U22" i="8"/>
  <c r="U23" i="8"/>
  <c r="U24" i="8"/>
  <c r="U25" i="8"/>
  <c r="U26" i="8"/>
  <c r="C12" i="9"/>
  <c r="T15" i="8"/>
  <c r="T5" i="8"/>
  <c r="T6" i="8"/>
  <c r="T7" i="8"/>
  <c r="T8" i="8"/>
  <c r="T9" i="8"/>
  <c r="T10" i="8"/>
  <c r="T11" i="8"/>
  <c r="T12" i="8"/>
  <c r="T13" i="8"/>
  <c r="T14" i="8"/>
  <c r="T16" i="8"/>
  <c r="T17" i="8"/>
  <c r="T18" i="8"/>
  <c r="T19" i="8"/>
  <c r="T20" i="8"/>
  <c r="T21" i="8"/>
  <c r="T22" i="8"/>
  <c r="T23" i="8"/>
  <c r="T24" i="8"/>
  <c r="T25" i="8"/>
  <c r="T26" i="8"/>
  <c r="C11" i="9"/>
  <c r="S15" i="8"/>
  <c r="S5" i="8"/>
  <c r="S6" i="8"/>
  <c r="S7" i="8"/>
  <c r="S8" i="8"/>
  <c r="S9" i="8"/>
  <c r="S10" i="8"/>
  <c r="S11" i="8"/>
  <c r="S12" i="8"/>
  <c r="S13" i="8"/>
  <c r="S14" i="8"/>
  <c r="S16" i="8"/>
  <c r="S17" i="8"/>
  <c r="S18" i="8"/>
  <c r="S19" i="8"/>
  <c r="S20" i="8"/>
  <c r="S21" i="8"/>
  <c r="S22" i="8"/>
  <c r="S23" i="8"/>
  <c r="S24" i="8"/>
  <c r="S25" i="8"/>
  <c r="S26" i="8"/>
  <c r="C10" i="9"/>
  <c r="R15" i="8"/>
  <c r="R5" i="8"/>
  <c r="R6" i="8"/>
  <c r="R7" i="8"/>
  <c r="R8" i="8"/>
  <c r="R9" i="8"/>
  <c r="R10" i="8"/>
  <c r="R11" i="8"/>
  <c r="R12" i="8"/>
  <c r="R13" i="8"/>
  <c r="R14" i="8"/>
  <c r="R16" i="8"/>
  <c r="R17" i="8"/>
  <c r="R18" i="8"/>
  <c r="R19" i="8"/>
  <c r="R20" i="8"/>
  <c r="R21" i="8"/>
  <c r="R22" i="8"/>
  <c r="R23" i="8"/>
  <c r="R24" i="8"/>
  <c r="R25" i="8"/>
  <c r="R26" i="8"/>
  <c r="C9" i="9"/>
  <c r="Q15" i="8"/>
  <c r="Q5" i="8"/>
  <c r="Q6" i="8"/>
  <c r="Q7" i="8"/>
  <c r="Q8" i="8"/>
  <c r="Q9" i="8"/>
  <c r="Q10" i="8"/>
  <c r="Q11" i="8"/>
  <c r="Q12" i="8"/>
  <c r="Q13" i="8"/>
  <c r="Q14" i="8"/>
  <c r="Q16" i="8"/>
  <c r="Q17" i="8"/>
  <c r="Q18" i="8"/>
  <c r="Q19" i="8"/>
  <c r="Q20" i="8"/>
  <c r="Q21" i="8"/>
  <c r="Q22" i="8"/>
  <c r="Q23" i="8"/>
  <c r="Q24" i="8"/>
  <c r="Q25" i="8"/>
  <c r="Q26" i="8"/>
  <c r="C8" i="9"/>
  <c r="P15" i="8"/>
  <c r="P5" i="8"/>
  <c r="P6" i="8"/>
  <c r="P7" i="8"/>
  <c r="P8" i="8"/>
  <c r="P9" i="8"/>
  <c r="P10" i="8"/>
  <c r="P11" i="8"/>
  <c r="P12" i="8"/>
  <c r="P13" i="8"/>
  <c r="P14" i="8"/>
  <c r="P16" i="8"/>
  <c r="P17" i="8"/>
  <c r="P18" i="8"/>
  <c r="P19" i="8"/>
  <c r="P20" i="8"/>
  <c r="P21" i="8"/>
  <c r="P22" i="8"/>
  <c r="P23" i="8"/>
  <c r="P24" i="8"/>
  <c r="P25" i="8"/>
  <c r="P26" i="8"/>
  <c r="C7" i="9"/>
  <c r="O15" i="8"/>
  <c r="O5" i="8"/>
  <c r="O6" i="8"/>
  <c r="O7" i="8"/>
  <c r="O8" i="8"/>
  <c r="O9" i="8"/>
  <c r="O10" i="8"/>
  <c r="O11" i="8"/>
  <c r="O12" i="8"/>
  <c r="O13" i="8"/>
  <c r="O14" i="8"/>
  <c r="O16" i="8"/>
  <c r="O17" i="8"/>
  <c r="O18" i="8"/>
  <c r="O19" i="8"/>
  <c r="O20" i="8"/>
  <c r="O21" i="8"/>
  <c r="O22" i="8"/>
  <c r="O23" i="8"/>
  <c r="O24" i="8"/>
  <c r="O25" i="8"/>
  <c r="O26" i="8"/>
  <c r="C6" i="9"/>
  <c r="N15" i="8"/>
  <c r="N5" i="8"/>
  <c r="N6" i="8"/>
  <c r="N7" i="8"/>
  <c r="N8" i="8"/>
  <c r="N9" i="8"/>
  <c r="N10" i="8"/>
  <c r="N11" i="8"/>
  <c r="N12" i="8"/>
  <c r="N13" i="8"/>
  <c r="N14" i="8"/>
  <c r="N16" i="8"/>
  <c r="N17" i="8"/>
  <c r="N18" i="8"/>
  <c r="N19" i="8"/>
  <c r="N20" i="8"/>
  <c r="N21" i="8"/>
  <c r="N22" i="8"/>
  <c r="N23" i="8"/>
  <c r="N24" i="8"/>
  <c r="N25" i="8"/>
  <c r="N26" i="8"/>
  <c r="C5" i="9"/>
  <c r="L26" i="8"/>
  <c r="B15" i="9"/>
  <c r="K26" i="8"/>
  <c r="B14" i="9"/>
  <c r="J26" i="8"/>
  <c r="B13" i="9"/>
  <c r="I26" i="8"/>
  <c r="B12" i="9"/>
  <c r="H26" i="8"/>
  <c r="B11" i="9"/>
  <c r="G26" i="8"/>
  <c r="B10" i="9"/>
  <c r="F26" i="8"/>
  <c r="B9" i="9"/>
  <c r="E26" i="8"/>
  <c r="B8" i="9"/>
  <c r="D26" i="8"/>
  <c r="B7" i="9"/>
  <c r="C26" i="8"/>
  <c r="B6" i="9"/>
  <c r="B26" i="8"/>
  <c r="B5" i="9"/>
  <c r="F3" i="9"/>
  <c r="O5" i="1"/>
  <c r="J17" i="1"/>
  <c r="J27" i="1"/>
  <c r="J26" i="1"/>
  <c r="J25" i="1"/>
  <c r="J24" i="1"/>
  <c r="J23" i="1"/>
  <c r="J22" i="1"/>
  <c r="J20" i="1"/>
  <c r="J19" i="1"/>
  <c r="J18" i="1"/>
  <c r="J16" i="1"/>
  <c r="J15" i="1"/>
  <c r="J14" i="1"/>
  <c r="J13" i="1"/>
  <c r="J12" i="1"/>
  <c r="J11" i="1"/>
  <c r="J10" i="1"/>
  <c r="J9" i="1"/>
  <c r="J8" i="1"/>
  <c r="B5" i="8"/>
  <c r="E68" i="2"/>
  <c r="C35" i="1"/>
  <c r="C36" i="1"/>
  <c r="E36" i="1"/>
  <c r="F2" i="2"/>
  <c r="Q5" i="2"/>
  <c r="S5" i="2"/>
  <c r="C40" i="1"/>
  <c r="C39" i="1"/>
  <c r="T5" i="2"/>
  <c r="R5" i="2"/>
  <c r="J21" i="1"/>
  <c r="U5" i="2"/>
  <c r="I2" i="1"/>
  <c r="M7" i="1"/>
  <c r="H39" i="1"/>
  <c r="S33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H35" i="1"/>
  <c r="R33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S33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R33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F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I29" i="6"/>
  <c r="D3" i="6"/>
  <c r="J29" i="6"/>
  <c r="G29" i="2"/>
  <c r="I29" i="2"/>
  <c r="E35" i="1"/>
  <c r="D2" i="2"/>
  <c r="H28" i="2"/>
  <c r="J28" i="2"/>
  <c r="D3" i="2"/>
  <c r="AG6" i="2"/>
  <c r="AG7" i="2"/>
  <c r="AG8" i="2"/>
  <c r="AG9" i="2"/>
  <c r="AG10" i="2"/>
  <c r="AG11" i="2"/>
  <c r="AG12" i="2"/>
  <c r="AG13" i="2"/>
  <c r="AG14" i="2"/>
  <c r="AG15" i="2"/>
  <c r="AG17" i="2"/>
  <c r="AG18" i="2"/>
  <c r="AG19" i="2"/>
  <c r="AG20" i="2"/>
  <c r="AG21" i="2"/>
  <c r="AG22" i="2"/>
  <c r="AG23" i="2"/>
  <c r="AG24" i="2"/>
  <c r="AG25" i="2"/>
  <c r="AG26" i="2"/>
  <c r="AH6" i="2"/>
  <c r="F31" i="4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V7" i="1"/>
  <c r="W5" i="1"/>
  <c r="F67" i="2"/>
  <c r="G30" i="2"/>
  <c r="I30" i="2"/>
  <c r="E69" i="2"/>
  <c r="G31" i="2"/>
  <c r="I31" i="2"/>
  <c r="E70" i="2"/>
  <c r="G32" i="2"/>
  <c r="I32" i="2"/>
  <c r="E71" i="2"/>
  <c r="G33" i="2"/>
  <c r="I33" i="2"/>
  <c r="E72" i="2"/>
  <c r="G34" i="2"/>
  <c r="I34" i="2"/>
  <c r="E73" i="2"/>
  <c r="G35" i="2"/>
  <c r="I35" i="2"/>
  <c r="E74" i="2"/>
  <c r="G36" i="2"/>
  <c r="I36" i="2"/>
  <c r="E75" i="2"/>
  <c r="G37" i="2"/>
  <c r="I37" i="2"/>
  <c r="E76" i="2"/>
  <c r="G38" i="2"/>
  <c r="I38" i="2"/>
  <c r="E77" i="2"/>
  <c r="G39" i="2"/>
  <c r="I39" i="2"/>
  <c r="E78" i="2"/>
  <c r="G40" i="2"/>
  <c r="I40" i="2"/>
  <c r="E79" i="2"/>
  <c r="G41" i="2"/>
  <c r="I41" i="2"/>
  <c r="E80" i="2"/>
  <c r="G42" i="2"/>
  <c r="I42" i="2"/>
  <c r="E81" i="2"/>
  <c r="G43" i="2"/>
  <c r="I43" i="2"/>
  <c r="E82" i="2"/>
  <c r="G44" i="2"/>
  <c r="I44" i="2"/>
  <c r="E83" i="2"/>
  <c r="G45" i="2"/>
  <c r="I45" i="2"/>
  <c r="E84" i="2"/>
  <c r="G46" i="2"/>
  <c r="I46" i="2"/>
  <c r="E85" i="2"/>
  <c r="G47" i="2"/>
  <c r="I47" i="2"/>
  <c r="E86" i="2"/>
  <c r="G48" i="2"/>
  <c r="I48" i="2"/>
  <c r="D11" i="2"/>
  <c r="D11" i="6"/>
  <c r="Q33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H30" i="4"/>
  <c r="V5" i="2"/>
  <c r="Q6" i="2"/>
  <c r="S6" i="2"/>
  <c r="U6" i="2"/>
  <c r="V6" i="2"/>
  <c r="Q7" i="2"/>
  <c r="S7" i="2"/>
  <c r="U7" i="2"/>
  <c r="V7" i="2"/>
  <c r="Q8" i="2"/>
  <c r="S8" i="2"/>
  <c r="U8" i="2"/>
  <c r="V8" i="2"/>
  <c r="Q9" i="2"/>
  <c r="S9" i="2"/>
  <c r="U9" i="2"/>
  <c r="V9" i="2"/>
  <c r="Q10" i="2"/>
  <c r="S10" i="2"/>
  <c r="U10" i="2"/>
  <c r="V10" i="2"/>
  <c r="Q11" i="2"/>
  <c r="S11" i="2"/>
  <c r="U11" i="2"/>
  <c r="V11" i="2"/>
  <c r="Q12" i="2"/>
  <c r="S12" i="2"/>
  <c r="U12" i="2"/>
  <c r="V12" i="2"/>
  <c r="Q13" i="2"/>
  <c r="S13" i="2"/>
  <c r="U13" i="2"/>
  <c r="V13" i="2"/>
  <c r="Q14" i="2"/>
  <c r="S14" i="2"/>
  <c r="U14" i="2"/>
  <c r="V14" i="2"/>
  <c r="Q15" i="2"/>
  <c r="S15" i="2"/>
  <c r="U15" i="2"/>
  <c r="V15" i="2"/>
  <c r="Q17" i="2"/>
  <c r="S17" i="2"/>
  <c r="U17" i="2"/>
  <c r="V17" i="2"/>
  <c r="V18" i="2"/>
  <c r="AF6" i="2"/>
  <c r="AH4" i="2"/>
  <c r="AE7" i="6"/>
  <c r="AE8" i="6"/>
  <c r="AE9" i="6"/>
  <c r="AE10" i="6"/>
  <c r="AE11" i="6"/>
  <c r="AE12" i="6"/>
  <c r="AE13" i="6"/>
  <c r="AE14" i="6"/>
  <c r="AE15" i="6"/>
  <c r="AE17" i="6"/>
  <c r="AE18" i="6"/>
  <c r="AE19" i="6"/>
  <c r="AE20" i="6"/>
  <c r="AE21" i="6"/>
  <c r="AE22" i="6"/>
  <c r="AE23" i="6"/>
  <c r="AE24" i="6"/>
  <c r="AE25" i="6"/>
  <c r="AE26" i="6"/>
  <c r="AE6" i="6"/>
  <c r="C8" i="5"/>
  <c r="C7" i="5"/>
  <c r="E88" i="6"/>
  <c r="E89" i="6"/>
  <c r="E90" i="6"/>
  <c r="E91" i="6"/>
  <c r="E92" i="6"/>
  <c r="E87" i="2"/>
  <c r="E88" i="2"/>
  <c r="E89" i="2"/>
  <c r="E90" i="2"/>
  <c r="E91" i="2"/>
  <c r="F2" i="6"/>
  <c r="P2" i="6"/>
  <c r="Q5" i="6"/>
  <c r="S5" i="6"/>
  <c r="U5" i="6"/>
  <c r="V5" i="6"/>
  <c r="E4" i="1"/>
  <c r="D7" i="1"/>
  <c r="K7" i="1"/>
  <c r="D2" i="6"/>
  <c r="H29" i="6"/>
  <c r="T5" i="6"/>
  <c r="R5" i="6"/>
  <c r="Q6" i="6"/>
  <c r="S6" i="6"/>
  <c r="T6" i="6"/>
  <c r="R6" i="6"/>
  <c r="Q7" i="6"/>
  <c r="S7" i="6"/>
  <c r="T7" i="6"/>
  <c r="R7" i="6"/>
  <c r="Q8" i="6"/>
  <c r="S8" i="6"/>
  <c r="T8" i="6"/>
  <c r="R8" i="6"/>
  <c r="Q9" i="6"/>
  <c r="S9" i="6"/>
  <c r="T9" i="6"/>
  <c r="R9" i="6"/>
  <c r="Q10" i="6"/>
  <c r="S10" i="6"/>
  <c r="T10" i="6"/>
  <c r="R10" i="6"/>
  <c r="Q11" i="6"/>
  <c r="S11" i="6"/>
  <c r="T11" i="6"/>
  <c r="R11" i="6"/>
  <c r="Q12" i="6"/>
  <c r="S12" i="6"/>
  <c r="T12" i="6"/>
  <c r="R12" i="6"/>
  <c r="Q13" i="6"/>
  <c r="S13" i="6"/>
  <c r="T13" i="6"/>
  <c r="R13" i="6"/>
  <c r="Q14" i="6"/>
  <c r="S14" i="6"/>
  <c r="T14" i="6"/>
  <c r="R14" i="6"/>
  <c r="Q15" i="6"/>
  <c r="S15" i="6"/>
  <c r="T15" i="6"/>
  <c r="R15" i="6"/>
  <c r="Q17" i="6"/>
  <c r="S17" i="6"/>
  <c r="T17" i="6"/>
  <c r="R17" i="6"/>
  <c r="R18" i="6"/>
  <c r="U6" i="6"/>
  <c r="V6" i="6"/>
  <c r="U7" i="6"/>
  <c r="V7" i="6"/>
  <c r="U8" i="6"/>
  <c r="V8" i="6"/>
  <c r="U9" i="6"/>
  <c r="V9" i="6"/>
  <c r="U10" i="6"/>
  <c r="V10" i="6"/>
  <c r="U11" i="6"/>
  <c r="V11" i="6"/>
  <c r="U12" i="6"/>
  <c r="V12" i="6"/>
  <c r="U13" i="6"/>
  <c r="V13" i="6"/>
  <c r="U14" i="6"/>
  <c r="V14" i="6"/>
  <c r="U15" i="6"/>
  <c r="V15" i="6"/>
  <c r="U17" i="6"/>
  <c r="V17" i="6"/>
  <c r="D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30" i="2"/>
  <c r="H29" i="2"/>
  <c r="F3" i="6"/>
  <c r="D28" i="2"/>
  <c r="P2" i="2"/>
  <c r="T6" i="2"/>
  <c r="R6" i="2"/>
  <c r="T7" i="2"/>
  <c r="T8" i="2"/>
  <c r="T9" i="2"/>
  <c r="T10" i="2"/>
  <c r="T11" i="2"/>
  <c r="T12" i="2"/>
  <c r="T13" i="2"/>
  <c r="T14" i="2"/>
  <c r="T15" i="2"/>
  <c r="T17" i="2"/>
  <c r="T18" i="2"/>
  <c r="H40" i="2"/>
  <c r="H39" i="2"/>
  <c r="H38" i="2"/>
  <c r="H37" i="2"/>
  <c r="H36" i="2"/>
  <c r="H35" i="2"/>
  <c r="H34" i="2"/>
  <c r="H33" i="2"/>
  <c r="H32" i="2"/>
  <c r="H31" i="2"/>
  <c r="J30" i="2"/>
  <c r="J31" i="2"/>
  <c r="J32" i="2"/>
  <c r="J33" i="2"/>
  <c r="J34" i="2"/>
  <c r="J35" i="2"/>
  <c r="J36" i="2"/>
  <c r="J37" i="2"/>
  <c r="J38" i="2"/>
  <c r="J39" i="2"/>
  <c r="J40" i="2"/>
  <c r="H41" i="2"/>
  <c r="J41" i="2"/>
  <c r="H42" i="2"/>
  <c r="J42" i="2"/>
  <c r="H43" i="2"/>
  <c r="J43" i="2"/>
  <c r="H44" i="2"/>
  <c r="J44" i="2"/>
  <c r="H45" i="2"/>
  <c r="J45" i="2"/>
  <c r="H46" i="2"/>
  <c r="J46" i="2"/>
  <c r="H47" i="2"/>
  <c r="J47" i="2"/>
  <c r="H48" i="2"/>
  <c r="J48" i="2"/>
  <c r="J29" i="2"/>
  <c r="J7" i="1"/>
  <c r="C13" i="1"/>
  <c r="C12" i="1"/>
  <c r="C11" i="1"/>
  <c r="C10" i="1"/>
  <c r="C9" i="1"/>
  <c r="C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8" i="1"/>
  <c r="B7" i="1"/>
  <c r="F3" i="2"/>
  <c r="I1" i="1"/>
  <c r="E6" i="5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T18" i="6"/>
  <c r="C13" i="5"/>
  <c r="C12" i="5"/>
  <c r="C11" i="5"/>
  <c r="AG7" i="6"/>
  <c r="AG8" i="6"/>
  <c r="AG9" i="6"/>
  <c r="AG10" i="6"/>
  <c r="AG11" i="6"/>
  <c r="AG12" i="6"/>
  <c r="AG13" i="6"/>
  <c r="AG14" i="6"/>
  <c r="AG15" i="6"/>
  <c r="AG17" i="6"/>
  <c r="AG18" i="6"/>
  <c r="AG19" i="6"/>
  <c r="AG20" i="6"/>
  <c r="AG21" i="6"/>
  <c r="AG22" i="6"/>
  <c r="AG23" i="6"/>
  <c r="AG24" i="6"/>
  <c r="AG25" i="6"/>
  <c r="AG26" i="6"/>
  <c r="AH6" i="6"/>
  <c r="W6" i="2"/>
  <c r="C29" i="6"/>
  <c r="E29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Q33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AA34" i="6"/>
  <c r="AD7" i="6"/>
  <c r="AD8" i="6"/>
  <c r="AD9" i="6"/>
  <c r="AD10" i="6"/>
  <c r="AD11" i="6"/>
  <c r="AD12" i="6"/>
  <c r="AD13" i="6"/>
  <c r="AD14" i="6"/>
  <c r="AD15" i="6"/>
  <c r="AD17" i="6"/>
  <c r="AD18" i="6"/>
  <c r="AD19" i="6"/>
  <c r="AD20" i="6"/>
  <c r="AD21" i="6"/>
  <c r="AD22" i="6"/>
  <c r="AD23" i="6"/>
  <c r="AD24" i="6"/>
  <c r="AD25" i="6"/>
  <c r="AD26" i="6"/>
  <c r="W5" i="6"/>
  <c r="W6" i="6"/>
  <c r="W7" i="6"/>
  <c r="W8" i="6"/>
  <c r="W9" i="6"/>
  <c r="W10" i="6"/>
  <c r="W11" i="6"/>
  <c r="W12" i="6"/>
  <c r="W13" i="6"/>
  <c r="W14" i="6"/>
  <c r="W15" i="6"/>
  <c r="W17" i="6"/>
  <c r="W18" i="6"/>
  <c r="X17" i="6"/>
  <c r="X15" i="6"/>
  <c r="X14" i="6"/>
  <c r="X13" i="6"/>
  <c r="X12" i="6"/>
  <c r="X11" i="6"/>
  <c r="X10" i="6"/>
  <c r="X9" i="6"/>
  <c r="X8" i="6"/>
  <c r="X7" i="6"/>
  <c r="X6" i="6"/>
  <c r="AD7" i="2"/>
  <c r="AD8" i="2"/>
  <c r="AD9" i="2"/>
  <c r="AD10" i="2"/>
  <c r="AD11" i="2"/>
  <c r="AD12" i="2"/>
  <c r="AD13" i="2"/>
  <c r="AD14" i="2"/>
  <c r="AD15" i="2"/>
  <c r="AD17" i="2"/>
  <c r="AD18" i="2"/>
  <c r="AD19" i="2"/>
  <c r="AD20" i="2"/>
  <c r="AD21" i="2"/>
  <c r="AD22" i="2"/>
  <c r="AD23" i="2"/>
  <c r="AD24" i="2"/>
  <c r="AD25" i="2"/>
  <c r="AD26" i="2"/>
  <c r="C6" i="5"/>
  <c r="F6" i="5"/>
  <c r="E7" i="5"/>
  <c r="F7" i="5"/>
  <c r="E8" i="5"/>
  <c r="F8" i="5"/>
  <c r="E9" i="5"/>
  <c r="C9" i="5"/>
  <c r="F9" i="5"/>
  <c r="E10" i="5"/>
  <c r="C10" i="5"/>
  <c r="F10" i="5"/>
  <c r="E11" i="5"/>
  <c r="F11" i="5"/>
  <c r="E12" i="5"/>
  <c r="F12" i="5"/>
  <c r="E13" i="5"/>
  <c r="F13" i="5"/>
  <c r="E14" i="5"/>
  <c r="C14" i="5"/>
  <c r="F14" i="5"/>
  <c r="E15" i="5"/>
  <c r="C15" i="5"/>
  <c r="F15" i="5"/>
  <c r="E16" i="5"/>
  <c r="C16" i="5"/>
  <c r="F16" i="5"/>
  <c r="E17" i="5"/>
  <c r="C17" i="5"/>
  <c r="F17" i="5"/>
  <c r="F18" i="5"/>
  <c r="E18" i="5"/>
  <c r="D18" i="5"/>
  <c r="W5" i="2"/>
  <c r="W7" i="2"/>
  <c r="W8" i="2"/>
  <c r="W9" i="2"/>
  <c r="W10" i="2"/>
  <c r="W11" i="2"/>
  <c r="W12" i="2"/>
  <c r="W13" i="2"/>
  <c r="W14" i="2"/>
  <c r="W15" i="2"/>
  <c r="W17" i="2"/>
  <c r="W18" i="2"/>
  <c r="X18" i="2"/>
  <c r="X17" i="2"/>
  <c r="J39" i="1"/>
  <c r="X15" i="2"/>
  <c r="X14" i="2"/>
  <c r="X13" i="2"/>
  <c r="X12" i="2"/>
  <c r="X11" i="2"/>
  <c r="X10" i="2"/>
  <c r="X9" i="2"/>
  <c r="X8" i="2"/>
  <c r="X7" i="2"/>
  <c r="X6" i="2"/>
  <c r="X5" i="2"/>
  <c r="C28" i="2"/>
  <c r="I28" i="2"/>
  <c r="F28" i="2"/>
  <c r="N7" i="1"/>
  <c r="R7" i="2"/>
  <c r="R8" i="2"/>
  <c r="R9" i="2"/>
  <c r="R10" i="2"/>
  <c r="R11" i="2"/>
  <c r="R12" i="2"/>
  <c r="R13" i="2"/>
  <c r="R14" i="2"/>
  <c r="R15" i="2"/>
  <c r="R17" i="2"/>
  <c r="R18" i="2"/>
  <c r="M8" i="1"/>
  <c r="N8" i="1"/>
  <c r="M9" i="1"/>
  <c r="N9" i="1"/>
  <c r="M10" i="1"/>
  <c r="N10" i="1"/>
  <c r="M11" i="1"/>
  <c r="N11" i="1"/>
  <c r="M12" i="1"/>
  <c r="N12" i="1"/>
  <c r="M13" i="1"/>
  <c r="N13" i="1"/>
  <c r="M14" i="1"/>
  <c r="N14" i="1"/>
  <c r="M15" i="1"/>
  <c r="N15" i="1"/>
  <c r="M16" i="1"/>
  <c r="N16" i="1"/>
  <c r="M17" i="1"/>
  <c r="N17" i="1"/>
  <c r="M18" i="1"/>
  <c r="N18" i="1"/>
  <c r="M19" i="1"/>
  <c r="N19" i="1"/>
  <c r="M20" i="1"/>
  <c r="N20" i="1"/>
  <c r="M21" i="1"/>
  <c r="N21" i="1"/>
  <c r="M22" i="1"/>
  <c r="N22" i="1"/>
  <c r="M23" i="1"/>
  <c r="N23" i="1"/>
  <c r="M24" i="1"/>
  <c r="N24" i="1"/>
  <c r="M25" i="1"/>
  <c r="N25" i="1"/>
  <c r="M26" i="1"/>
  <c r="N26" i="1"/>
  <c r="M27" i="1"/>
  <c r="N2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7" i="1"/>
  <c r="F7" i="1"/>
  <c r="J35" i="1"/>
  <c r="AA36" i="2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C18" i="5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V18" i="6"/>
  <c r="X18" i="6"/>
  <c r="X5" i="6"/>
</calcChain>
</file>

<file path=xl/comments1.xml><?xml version="1.0" encoding="utf-8"?>
<comments xmlns="http://schemas.openxmlformats.org/spreadsheetml/2006/main">
  <authors>
    <author>Microsoft Office User</author>
  </authors>
  <commentList>
    <comment ref="C2" authorId="0">
      <text>
        <r>
          <rPr>
            <b/>
            <sz val="10"/>
            <color indexed="81"/>
            <rFont val="Calibri"/>
          </rPr>
          <t xml:space="preserve">Microsoft Office User:
</t>
        </r>
        <r>
          <rPr>
            <sz val="10"/>
            <color indexed="81"/>
            <rFont val="Calibri"/>
          </rPr>
          <t xml:space="preserve">Průměr hodnot: rok 2015 a vypočtená hodnota potřeby tepla na přípravu TV
</t>
        </r>
      </text>
    </comment>
  </commentList>
</comments>
</file>

<file path=xl/comments2.xml><?xml version="1.0" encoding="utf-8"?>
<comments xmlns="http://schemas.openxmlformats.org/spreadsheetml/2006/main">
  <authors>
    <author>Microsoft Office User</author>
  </authors>
  <commentList>
    <comment ref="D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Změna hodnoty =&gt; přepočtení hodnot v tabulce
</t>
        </r>
      </text>
    </comment>
    <comment ref="P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Denní průměr výroby FVE (hodnoty z PVGIS)</t>
        </r>
      </text>
    </comment>
    <comment ref="Q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Spotřeba spočítána:
Spotřeba původní - (mínus) výroba FVE
</t>
        </r>
      </text>
    </comment>
    <comment ref="R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Přepočet na jednotlivé měsíce
</t>
        </r>
      </text>
    </comment>
    <comment ref="S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Přepočet z kWh na GJ
</t>
        </r>
      </text>
    </comment>
    <comment ref="T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Rozpočítáno na jednotlivé měsíce
</t>
        </r>
      </text>
    </comment>
    <comment ref="E27" authorId="0">
      <text>
        <r>
          <rPr>
            <b/>
            <sz val="10"/>
            <color indexed="81"/>
            <rFont val="Calibri"/>
          </rPr>
          <t xml:space="preserve">Microsoft Office User:
</t>
        </r>
        <r>
          <rPr>
            <sz val="10"/>
            <color indexed="81"/>
            <rFont val="Calibri"/>
          </rPr>
          <t xml:space="preserve">Výpočet úspory:
(cena za GJ * FVE výroba) - roční poplatky
</t>
        </r>
      </text>
    </comment>
    <comment ref="I27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Přepočet z kWh na GJ
</t>
        </r>
      </text>
    </comment>
    <comment ref="J27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Přepočet z kWh na GJ</t>
        </r>
      </text>
    </comment>
    <comment ref="R32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částka v roce 0 (tzn. Bez započtení navýšení cen</t>
        </r>
      </text>
    </comment>
    <comment ref="S32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částka v roce 1 (4% navýšení)</t>
        </r>
      </text>
    </comment>
    <comment ref="D38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Reinvestice do měření a regulace.</t>
        </r>
      </text>
    </comment>
  </commentList>
</comments>
</file>

<file path=xl/comments3.xml><?xml version="1.0" encoding="utf-8"?>
<comments xmlns="http://schemas.openxmlformats.org/spreadsheetml/2006/main">
  <authors>
    <author>Microsoft Office User</author>
  </authors>
  <commentList>
    <comment ref="D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Změna hodnoty =&gt; přepočtení hodnot v tabulce
</t>
        </r>
      </text>
    </comment>
    <comment ref="P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Denní průměr výroby FVE (hodnoty z PVGIS)</t>
        </r>
      </text>
    </comment>
    <comment ref="Q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Spotřeba spočítána:
Spotřeba původní - (mínus) výroba FVE
</t>
        </r>
      </text>
    </comment>
    <comment ref="R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Přepočet na jednotlivé měsíce
</t>
        </r>
      </text>
    </comment>
    <comment ref="S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Přepočet z kWh na GJ
</t>
        </r>
      </text>
    </comment>
    <comment ref="T4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Rozpočítáno na jednotlivé měsíce
</t>
        </r>
      </text>
    </comment>
    <comment ref="E28" authorId="0">
      <text>
        <r>
          <rPr>
            <b/>
            <sz val="10"/>
            <color indexed="81"/>
            <rFont val="Calibri"/>
          </rPr>
          <t xml:space="preserve">Microsoft Office User:
</t>
        </r>
        <r>
          <rPr>
            <sz val="10"/>
            <color indexed="81"/>
            <rFont val="Calibri"/>
          </rPr>
          <t xml:space="preserve">Výpočet úspory:
cena za GJ * FVE výroba
</t>
        </r>
      </text>
    </comment>
    <comment ref="H28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Výpočet:
Spotřeba (vstupní data) - Vyrobená energie z FVE
</t>
        </r>
      </text>
    </comment>
    <comment ref="I28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Přepočet z kWh na GJ
</t>
        </r>
      </text>
    </comment>
    <comment ref="J28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Přepočet z kWh na GJ</t>
        </r>
      </text>
    </comment>
    <comment ref="R32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částka v roce 0 (tzn. Bez započtení navýšení cen</t>
        </r>
      </text>
    </comment>
    <comment ref="S32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částka v roce 1 (4% navýšení)</t>
        </r>
      </text>
    </comment>
    <comment ref="D39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Reinvestice do měření a regulace.</t>
        </r>
      </text>
    </comment>
  </commentList>
</comments>
</file>

<file path=xl/comments4.xml><?xml version="1.0" encoding="utf-8"?>
<comments xmlns="http://schemas.openxmlformats.org/spreadsheetml/2006/main">
  <authors>
    <author>Microsoft Office User</author>
  </authors>
  <commentList>
    <comment ref="E5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Přepočet z kWh na GJ
</t>
        </r>
      </text>
    </comment>
    <comment ref="N5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Přepočet z kWh na GJ
</t>
        </r>
      </text>
    </comment>
  </commentList>
</comments>
</file>

<file path=xl/sharedStrings.xml><?xml version="1.0" encoding="utf-8"?>
<sst xmlns="http://schemas.openxmlformats.org/spreadsheetml/2006/main" count="388" uniqueCount="181">
  <si>
    <t>rok</t>
  </si>
  <si>
    <t>NPV</t>
  </si>
  <si>
    <t>nárůst o</t>
  </si>
  <si>
    <t>Meziroční nárůst cen</t>
  </si>
  <si>
    <t>za rok</t>
  </si>
  <si>
    <t>Kč</t>
  </si>
  <si>
    <t>cena (2015) [Kč/GJ]</t>
  </si>
  <si>
    <t>dní</t>
  </si>
  <si>
    <t>délka spotřeby TV</t>
  </si>
  <si>
    <t>GJ/den</t>
  </si>
  <si>
    <t>MWh/den</t>
  </si>
  <si>
    <t>kWh/den</t>
  </si>
  <si>
    <t>Spotřeba tepla (2015) [GJ]</t>
  </si>
  <si>
    <t>Spotřeba TV (2015) [m3]</t>
  </si>
  <si>
    <t>Kč/den</t>
  </si>
  <si>
    <t>cena za 1 kWh</t>
  </si>
  <si>
    <t>Kč/kWh</t>
  </si>
  <si>
    <t>spotřeba za den</t>
  </si>
  <si>
    <t>GJ/rok</t>
  </si>
  <si>
    <t>kWh/rok</t>
  </si>
  <si>
    <t>Kumulované [kč]</t>
  </si>
  <si>
    <t>Ročně [Kč]</t>
  </si>
  <si>
    <t>částka za den</t>
  </si>
  <si>
    <t>Předpoklad: Stejná spotřeba tepla</t>
  </si>
  <si>
    <t>za den</t>
  </si>
  <si>
    <t>Měsíc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</si>
  <si>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</si>
  <si>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</si>
  <si>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</si>
  <si>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</si>
  <si>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</si>
  <si>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</si>
  <si>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</si>
  <si>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</si>
  <si>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</si>
  <si>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</si>
  <si>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</si>
  <si>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</si>
  <si>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Systém bez FVE</t>
  </si>
  <si>
    <t>zeleně</t>
  </si>
  <si>
    <t>systém s FVE</t>
  </si>
  <si>
    <t>červeně</t>
  </si>
  <si>
    <t>pouze teplárna</t>
  </si>
  <si>
    <t>ročně</t>
  </si>
  <si>
    <t>Částka za den [Kč/den]</t>
  </si>
  <si>
    <t>Částka za měsíc [Kč/měísc]</t>
  </si>
  <si>
    <t>Částka za měsíc [Kč/měsíc]</t>
  </si>
  <si>
    <t>∆ Rozdíl [Kč/měsíc]</t>
  </si>
  <si>
    <t>FVE výroba kWh/rok</t>
  </si>
  <si>
    <t>FVE výroba [GJ/rok]</t>
  </si>
  <si>
    <t>Úspora bez investic + nárůst cen (viz předchozí list)</t>
  </si>
  <si>
    <t>Kumulovaná úspora [Kč]</t>
  </si>
  <si>
    <t>částka za den v 1. roce (4% navýšení)</t>
  </si>
  <si>
    <t>častka za den</t>
  </si>
  <si>
    <t>částka za měsíc r. 0</t>
  </si>
  <si>
    <t>částka za měsíc r. 1</t>
  </si>
  <si>
    <t>částka za den v roce 0.</t>
  </si>
  <si>
    <t>Spotřeba energie za den (původní)</t>
  </si>
  <si>
    <t>link</t>
  </si>
  <si>
    <t>cena 1 panel</t>
  </si>
  <si>
    <t>Kč s DPH</t>
  </si>
  <si>
    <t>cena systém</t>
  </si>
  <si>
    <t>Panel [Wp]</t>
  </si>
  <si>
    <t>Wp</t>
  </si>
  <si>
    <t>FVE</t>
  </si>
  <si>
    <t>Tepelný systém</t>
  </si>
  <si>
    <t>Akumulační nádrž</t>
  </si>
  <si>
    <t>Měření a regulace</t>
  </si>
  <si>
    <t>MaR systém</t>
  </si>
  <si>
    <t>životnost</t>
  </si>
  <si>
    <t>let</t>
  </si>
  <si>
    <t>roční poplatky</t>
  </si>
  <si>
    <t>Gj/rok</t>
  </si>
  <si>
    <t>%</t>
  </si>
  <si>
    <t>diskont</t>
  </si>
  <si>
    <t>spotřeba tepla na přípravu TV</t>
  </si>
  <si>
    <t>GJ</t>
  </si>
  <si>
    <t>20% spotřeba</t>
  </si>
  <si>
    <t>80% spotřeba</t>
  </si>
  <si>
    <t>3 měsíce</t>
  </si>
  <si>
    <t>přepočet na měsíce</t>
  </si>
  <si>
    <t>rozpočteno na 9 měsíců</t>
  </si>
  <si>
    <t>Rozpočítáno</t>
  </si>
  <si>
    <t>Výroba 10 kWp [kWh/měsíc]</t>
  </si>
  <si>
    <t>Cena za GJ ve výhledu 20 let bez FVE</t>
  </si>
  <si>
    <t>celkem za rok</t>
  </si>
  <si>
    <t>Měsíční spotřeba [GJ]</t>
  </si>
  <si>
    <t>Cena za GJ ve výhledu 20 let s FVE 20 kWp</t>
  </si>
  <si>
    <t>Cena za GJ ve výhledu 20 let s FVE 10 kWp</t>
  </si>
  <si>
    <t>práce</t>
  </si>
  <si>
    <t>Rozpočítáno pro rok 1 (4% navýšení)</t>
  </si>
  <si>
    <t>Vstupní data</t>
  </si>
  <si>
    <t>Spotřeba tepla na přípravu TV</t>
  </si>
  <si>
    <t>Ročně</t>
  </si>
  <si>
    <t>Denně</t>
  </si>
  <si>
    <t>Žádný meziroční nárůst cen</t>
  </si>
  <si>
    <t>Roční spotřeba [GJ/rok]</t>
  </si>
  <si>
    <t>Roční spotřeba [kWh/rok]</t>
  </si>
  <si>
    <t>Roční úspora [Kč]</t>
  </si>
  <si>
    <t>Výroba 20 kWp FVE (PVGIS)</t>
  </si>
  <si>
    <t>Spotřeba s FVE [kWh/den]</t>
  </si>
  <si>
    <t>Spotřeba s FVE [kWh/měsíc]</t>
  </si>
  <si>
    <t>Spotřeba s FVE[GJ/den]</t>
  </si>
  <si>
    <t>Spotřeba s FVE[GJ/měsíc]</t>
  </si>
  <si>
    <t>Cena [Kč/GJ]</t>
  </si>
  <si>
    <t>Systém s FVE - analýza jednotlivých měsíců</t>
  </si>
  <si>
    <t>Cena za 1 kWh [Kč/kWh]</t>
  </si>
  <si>
    <t>Denní výroba (PVGIS) [kWh/den]</t>
  </si>
  <si>
    <t>FVE výroba [kWh/rok]</t>
  </si>
  <si>
    <t>Teplárna</t>
  </si>
  <si>
    <t>Teplárna + FVE 10 kWp</t>
  </si>
  <si>
    <t>Výroba 10 kWp [GJ/měsíc]</t>
  </si>
  <si>
    <t>Rozdíl [GJ/měsíc]</t>
  </si>
  <si>
    <t>Výroba 10 kWp FVE (PVGIS)</t>
  </si>
  <si>
    <t>LXDC 1-4 kW</t>
  </si>
  <si>
    <t>Cash flow (výdaje)</t>
  </si>
  <si>
    <t>-</t>
  </si>
  <si>
    <t>Kč/GJ</t>
  </si>
  <si>
    <t>Průměrná cena za GJ</t>
  </si>
  <si>
    <t>Úspora + nárůst cen za teplo od teplárny (viz předchozí list)</t>
  </si>
  <si>
    <t>Investice</t>
  </si>
  <si>
    <t>Ohřívač vody</t>
  </si>
  <si>
    <t>Kabeláž, střešní konstrukce, ochranné prvky</t>
  </si>
  <si>
    <t>2x 1-6 kW LXDC set</t>
  </si>
  <si>
    <t>systém 18 kWp</t>
  </si>
  <si>
    <t>přepočítat</t>
  </si>
  <si>
    <t>10 kWp systém</t>
  </si>
  <si>
    <t>panelů</t>
  </si>
  <si>
    <t>z bojleru LXDC 1-6 kW set</t>
  </si>
  <si>
    <t>Srovnání NPV</t>
  </si>
  <si>
    <t>Cena celkem</t>
  </si>
  <si>
    <t>Rozpočítání poklesu účinnosti panelů</t>
  </si>
  <si>
    <t>Panel</t>
  </si>
  <si>
    <t>LXDC Power Box 1-2 kW</t>
  </si>
  <si>
    <t>MPPT pro LXDC set</t>
  </si>
  <si>
    <t>LXDC 1-6 kW</t>
  </si>
  <si>
    <t>MPPT pro LXDC Set</t>
  </si>
  <si>
    <t>Měsíční spotřeba [kWh/měsíc]</t>
  </si>
  <si>
    <t>Denní spotřeba [kWh/den]</t>
  </si>
  <si>
    <t>Celkem</t>
  </si>
  <si>
    <t>částka za měsíc rok 0</t>
  </si>
  <si>
    <t>částka za měsíc rok 1</t>
  </si>
  <si>
    <t>spotřeba</t>
  </si>
  <si>
    <t>m3/den</t>
  </si>
  <si>
    <t>Citlivostní analýza růstu cen od Teplárny</t>
  </si>
  <si>
    <t>reinvestice</t>
  </si>
  <si>
    <t xml:space="preserve">diskont </t>
  </si>
  <si>
    <t>Teplárna 18 kWp</t>
  </si>
  <si>
    <t>Růst cen tepelné energie</t>
  </si>
  <si>
    <t>Varianta 1</t>
  </si>
  <si>
    <t>Varianta 2</t>
  </si>
  <si>
    <t>růst cen %</t>
  </si>
  <si>
    <t>Citlivostní analýza diskontu při 4% růstu cen</t>
  </si>
  <si>
    <t>Vliv diskontní míry</t>
  </si>
  <si>
    <t>diskontní míra</t>
  </si>
  <si>
    <t>ks</t>
  </si>
  <si>
    <t xml:space="preserve">1 příruba + 1-6kW LXDC set, 500 l </t>
  </si>
  <si>
    <t>ohřívač vody NTR/BP 300 l</t>
  </si>
  <si>
    <t xml:space="preserve"> </t>
  </si>
  <si>
    <t>LX NAD 750 l 2 příruby</t>
  </si>
  <si>
    <t>LX NAD v1 1000 l 3 příruby</t>
  </si>
  <si>
    <t>LX NTR/BP</t>
  </si>
  <si>
    <t>Izolace NEODUL LB PP 80 mm</t>
  </si>
  <si>
    <t>Výroba 18 kWp [kWh/měsíc]</t>
  </si>
  <si>
    <t>Výroba 18 kWp [GJ/měsíc]</t>
  </si>
  <si>
    <t>Citlivostní analýza dotace</t>
  </si>
  <si>
    <t>investice</t>
  </si>
  <si>
    <t>Vliv dotace</t>
  </si>
  <si>
    <t xml:space="preserve">dotace </t>
  </si>
  <si>
    <t>Varianta 0</t>
  </si>
  <si>
    <t>investice po dotaci</t>
  </si>
  <si>
    <t>NPV varianta 1</t>
  </si>
  <si>
    <t>NPV varianta 2</t>
  </si>
  <si>
    <t>dotace, %</t>
  </si>
  <si>
    <t>m2</t>
  </si>
  <si>
    <t>m2 1 panel</t>
  </si>
  <si>
    <t>čištění panelů Kč/rok</t>
  </si>
  <si>
    <t>revize</t>
  </si>
  <si>
    <t>revize Kč/rok</t>
  </si>
  <si>
    <t>l</t>
  </si>
  <si>
    <t>tis. CZK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</si>
</sst>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CZK&quot;;[Red]\-#,##0.00\ &quot;CZK&quot;"/>
    <numFmt numFmtId="164" formatCode="0.0"/>
    <numFmt numFmtId="165" formatCode="0.0000"/>
  </numFmts>
  <fonts count="1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4" tint="-0.249977111117893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7030A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u/>
      <sz val="12"/>
      <color theme="10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indexed="81"/>
      <name val="Calibri"/>
    </font>
    <font>
      <b/>
      <sz val="10"/>
      <color indexed="81"/>
      <name val="Calibri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84">
    <xf numFmtId="0" fontId="0" fillId="0" borderId="0" xfId="0"/>
    <xf numFmtId="0" fontId="2" fillId="0" borderId="0" xfId="0" applyFont="1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6" fillId="0" borderId="0" xfId="0" applyFont="1"/>
    <xf numFmtId="0" fontId="5" fillId="0" borderId="0" xfId="0" applyFont="1"/>
    <xf numFmtId="0" fontId="0" fillId="0" borderId="0" xfId="0" applyAlignment="1">
      <alignment wrapText="1"/>
    </xf>
    <xf numFmtId="0" fontId="9" fillId="0" borderId="0" xfId="0" applyFont="1"/>
    <xf numFmtId="0" fontId="1" fillId="0" borderId="0" xfId="0" applyFont="1" applyAlignment="1">
      <alignment vertic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2" fontId="3" fillId="0" borderId="0" xfId="0" applyNumberFormat="1" applyFont="1"/>
    <xf numFmtId="0" fontId="0" fillId="0" borderId="0" xfId="0" applyFill="1" applyBorder="1" applyAlignment="1">
      <alignment horizontal="center"/>
    </xf>
    <xf numFmtId="0" fontId="11" fillId="0" borderId="0" xfId="1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/>
    </xf>
    <xf numFmtId="0" fontId="12" fillId="0" borderId="0" xfId="0" applyFont="1"/>
    <xf numFmtId="164" fontId="1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center"/>
    </xf>
    <xf numFmtId="3" fontId="0" fillId="0" borderId="0" xfId="0" applyNumberFormat="1"/>
    <xf numFmtId="3" fontId="0" fillId="0" borderId="0" xfId="0" applyNumberFormat="1" applyAlignment="1">
      <alignment horizontal="center"/>
    </xf>
    <xf numFmtId="3" fontId="2" fillId="0" borderId="0" xfId="0" applyNumberFormat="1" applyFont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13" xfId="0" applyNumberFormat="1" applyBorder="1" applyAlignment="1">
      <alignment horizontal="center"/>
    </xf>
    <xf numFmtId="3" fontId="0" fillId="0" borderId="14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8" fontId="0" fillId="0" borderId="0" xfId="0" applyNumberFormat="1"/>
    <xf numFmtId="0" fontId="2" fillId="0" borderId="15" xfId="0" applyFont="1" applyBorder="1" applyAlignment="1">
      <alignment horizontal="center"/>
    </xf>
    <xf numFmtId="2" fontId="2" fillId="0" borderId="16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2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10" xfId="0" applyNumberFormat="1" applyFont="1" applyBorder="1" applyAlignment="1">
      <alignment horizontal="center"/>
    </xf>
    <xf numFmtId="3" fontId="0" fillId="0" borderId="11" xfId="0" applyNumberFormat="1" applyFont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0" fillId="0" borderId="25" xfId="0" applyNumberFormat="1" applyBorder="1" applyAlignment="1">
      <alignment horizontal="center"/>
    </xf>
    <xf numFmtId="3" fontId="0" fillId="0" borderId="26" xfId="0" applyNumberFormat="1" applyFont="1" applyBorder="1" applyAlignment="1">
      <alignment horizontal="center"/>
    </xf>
    <xf numFmtId="3" fontId="0" fillId="0" borderId="27" xfId="0" applyNumberFormat="1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0" fillId="0" borderId="22" xfId="0" applyBorder="1"/>
    <xf numFmtId="2" fontId="2" fillId="0" borderId="22" xfId="0" applyNumberFormat="1" applyFon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3" xfId="0" applyBorder="1" applyAlignment="1">
      <alignment horizontal="center"/>
    </xf>
    <xf numFmtId="2" fontId="0" fillId="0" borderId="36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2" fontId="0" fillId="0" borderId="24" xfId="0" applyNumberFormat="1" applyBorder="1" applyAlignment="1">
      <alignment horizontal="center"/>
    </xf>
    <xf numFmtId="2" fontId="0" fillId="0" borderId="42" xfId="0" applyNumberForma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2" fillId="0" borderId="44" xfId="0" applyFont="1" applyBorder="1" applyAlignment="1">
      <alignment horizontal="center"/>
    </xf>
    <xf numFmtId="2" fontId="2" fillId="0" borderId="43" xfId="0" applyNumberFormat="1" applyFont="1" applyBorder="1" applyAlignment="1">
      <alignment horizontal="center"/>
    </xf>
    <xf numFmtId="2" fontId="0" fillId="0" borderId="37" xfId="0" applyNumberFormat="1" applyBorder="1" applyAlignment="1">
      <alignment horizontal="center"/>
    </xf>
    <xf numFmtId="2" fontId="0" fillId="0" borderId="38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165" fontId="0" fillId="0" borderId="37" xfId="0" applyNumberFormat="1" applyBorder="1" applyAlignment="1">
      <alignment horizontal="center"/>
    </xf>
    <xf numFmtId="2" fontId="0" fillId="0" borderId="45" xfId="0" applyNumberForma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3" fontId="0" fillId="0" borderId="36" xfId="0" applyNumberFormat="1" applyBorder="1" applyAlignment="1">
      <alignment horizontal="center"/>
    </xf>
    <xf numFmtId="3" fontId="0" fillId="0" borderId="37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47" xfId="0" applyNumberFormat="1" applyFont="1" applyBorder="1" applyAlignment="1">
      <alignment horizontal="center"/>
    </xf>
    <xf numFmtId="3" fontId="0" fillId="0" borderId="33" xfId="0" applyNumberFormat="1" applyBorder="1" applyAlignment="1">
      <alignment horizontal="center"/>
    </xf>
    <xf numFmtId="3" fontId="0" fillId="0" borderId="38" xfId="0" applyNumberFormat="1" applyBorder="1" applyAlignment="1">
      <alignment horizontal="center"/>
    </xf>
    <xf numFmtId="3" fontId="2" fillId="0" borderId="39" xfId="0" applyNumberFormat="1" applyFont="1" applyBorder="1" applyAlignment="1">
      <alignment horizontal="center"/>
    </xf>
    <xf numFmtId="3" fontId="2" fillId="0" borderId="40" xfId="0" applyNumberFormat="1" applyFont="1" applyBorder="1" applyAlignment="1">
      <alignment horizontal="center"/>
    </xf>
    <xf numFmtId="3" fontId="2" fillId="0" borderId="46" xfId="0" applyNumberFormat="1" applyFont="1" applyBorder="1" applyAlignment="1">
      <alignment horizontal="center"/>
    </xf>
    <xf numFmtId="3" fontId="2" fillId="0" borderId="48" xfId="0" applyNumberFormat="1" applyFont="1" applyBorder="1" applyAlignment="1">
      <alignment horizontal="center"/>
    </xf>
    <xf numFmtId="3" fontId="2" fillId="0" borderId="49" xfId="0" applyNumberFormat="1" applyFont="1" applyBorder="1" applyAlignment="1">
      <alignment horizontal="center"/>
    </xf>
    <xf numFmtId="3" fontId="2" fillId="0" borderId="41" xfId="0" applyNumberFormat="1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45" xfId="0" applyBorder="1" applyAlignment="1">
      <alignment horizontal="center"/>
    </xf>
    <xf numFmtId="0" fontId="0" fillId="0" borderId="25" xfId="0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0" xfId="0" applyFont="1" applyAlignment="1"/>
    <xf numFmtId="0" fontId="2" fillId="0" borderId="41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7" fillId="0" borderId="17" xfId="0" applyFont="1" applyBorder="1"/>
    <xf numFmtId="0" fontId="2" fillId="0" borderId="0" xfId="0" applyFont="1" applyBorder="1" applyAlignment="1"/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7" fillId="0" borderId="32" xfId="0" applyFont="1" applyBorder="1"/>
    <xf numFmtId="3" fontId="2" fillId="0" borderId="22" xfId="0" applyNumberFormat="1" applyFont="1" applyBorder="1" applyAlignment="1">
      <alignment horizontal="center"/>
    </xf>
    <xf numFmtId="3" fontId="0" fillId="0" borderId="19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2" fontId="0" fillId="0" borderId="33" xfId="0" applyNumberFormat="1" applyBorder="1" applyAlignment="1">
      <alignment horizontal="center"/>
    </xf>
    <xf numFmtId="2" fontId="0" fillId="0" borderId="54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55" xfId="0" applyNumberFormat="1" applyBorder="1" applyAlignment="1">
      <alignment horizontal="center"/>
    </xf>
    <xf numFmtId="0" fontId="2" fillId="0" borderId="22" xfId="0" applyFont="1" applyBorder="1" applyAlignment="1">
      <alignment horizontal="center"/>
    </xf>
    <xf numFmtId="2" fontId="2" fillId="0" borderId="56" xfId="0" applyNumberFormat="1" applyFont="1" applyBorder="1" applyAlignment="1">
      <alignment horizontal="center"/>
    </xf>
    <xf numFmtId="3" fontId="2" fillId="0" borderId="56" xfId="0" applyNumberFormat="1" applyFont="1" applyBorder="1" applyAlignment="1">
      <alignment horizontal="center"/>
    </xf>
    <xf numFmtId="3" fontId="2" fillId="0" borderId="57" xfId="0" applyNumberFormat="1" applyFont="1" applyBorder="1" applyAlignment="1">
      <alignment horizontal="center"/>
    </xf>
    <xf numFmtId="0" fontId="0" fillId="0" borderId="58" xfId="0" applyBorder="1" applyAlignment="1">
      <alignment horizontal="center"/>
    </xf>
    <xf numFmtId="3" fontId="0" fillId="0" borderId="21" xfId="0" applyNumberFormat="1" applyBorder="1" applyAlignment="1">
      <alignment horizontal="center"/>
    </xf>
    <xf numFmtId="0" fontId="0" fillId="0" borderId="39" xfId="0" applyBorder="1" applyAlignment="1">
      <alignment horizontal="center"/>
    </xf>
    <xf numFmtId="164" fontId="2" fillId="0" borderId="40" xfId="0" applyNumberFormat="1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3" fontId="13" fillId="0" borderId="0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4" fontId="2" fillId="0" borderId="49" xfId="0" applyNumberFormat="1" applyFont="1" applyBorder="1" applyAlignment="1">
      <alignment horizontal="center"/>
    </xf>
    <xf numFmtId="3" fontId="0" fillId="0" borderId="66" xfId="0" applyNumberForma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0" fillId="0" borderId="32" xfId="0" applyBorder="1"/>
    <xf numFmtId="3" fontId="0" fillId="0" borderId="39" xfId="0" applyNumberFormat="1" applyBorder="1" applyAlignment="1">
      <alignment horizontal="center"/>
    </xf>
    <xf numFmtId="3" fontId="0" fillId="0" borderId="40" xfId="0" applyNumberFormat="1" applyBorder="1" applyAlignment="1">
      <alignment horizontal="center"/>
    </xf>
    <xf numFmtId="3" fontId="0" fillId="0" borderId="41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8" fillId="0" borderId="0" xfId="0" applyFont="1" applyAlignment="1"/>
    <xf numFmtId="164" fontId="0" fillId="0" borderId="6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60" xfId="0" applyFon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2" fontId="0" fillId="0" borderId="62" xfId="0" applyNumberFormat="1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2" fontId="2" fillId="0" borderId="62" xfId="0" applyNumberFormat="1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3" fontId="0" fillId="0" borderId="65" xfId="0" applyNumberFormat="1" applyBorder="1" applyAlignment="1">
      <alignment horizontal="center"/>
    </xf>
    <xf numFmtId="0" fontId="0" fillId="0" borderId="23" xfId="0" applyBorder="1"/>
    <xf numFmtId="3" fontId="2" fillId="0" borderId="1" xfId="0" applyNumberFormat="1" applyFont="1" applyBorder="1" applyAlignment="1">
      <alignment horizontal="center"/>
    </xf>
    <xf numFmtId="3" fontId="2" fillId="0" borderId="0" xfId="0" applyNumberFormat="1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9" fontId="0" fillId="0" borderId="0" xfId="0" applyNumberFormat="1"/>
    <xf numFmtId="0" fontId="0" fillId="0" borderId="21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2" fontId="0" fillId="0" borderId="70" xfId="0" applyNumberFormat="1" applyBorder="1" applyAlignment="1">
      <alignment horizontal="center"/>
    </xf>
    <xf numFmtId="2" fontId="0" fillId="0" borderId="58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0" borderId="71" xfId="0" applyNumberFormat="1" applyBorder="1" applyAlignment="1">
      <alignment horizontal="center"/>
    </xf>
    <xf numFmtId="2" fontId="0" fillId="0" borderId="72" xfId="0" applyNumberFormat="1" applyBorder="1" applyAlignment="1">
      <alignment horizontal="center"/>
    </xf>
    <xf numFmtId="2" fontId="0" fillId="0" borderId="73" xfId="0" applyNumberFormat="1" applyBorder="1" applyAlignment="1">
      <alignment horizontal="center"/>
    </xf>
    <xf numFmtId="3" fontId="0" fillId="0" borderId="71" xfId="0" applyNumberForma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164" fontId="2" fillId="0" borderId="46" xfId="0" applyNumberFormat="1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9" fontId="9" fillId="0" borderId="35" xfId="0" applyNumberFormat="1" applyFont="1" applyBorder="1" applyAlignment="1">
      <alignment horizontal="center"/>
    </xf>
    <xf numFmtId="1" fontId="0" fillId="0" borderId="0" xfId="0" applyNumberFormat="1"/>
    <xf numFmtId="0" fontId="0" fillId="0" borderId="0" xfId="0" applyAlignment="1">
      <alignment horizontal="center"/>
    </xf>
    <xf numFmtId="3" fontId="0" fillId="0" borderId="0" xfId="0" applyNumberFormat="1" applyAlignment="1">
      <alignment vertical="center"/>
    </xf>
    <xf numFmtId="0" fontId="2" fillId="0" borderId="1" xfId="0" applyFont="1" applyFill="1" applyBorder="1" applyAlignment="1">
      <alignment horizontal="center"/>
    </xf>
    <xf numFmtId="3" fontId="0" fillId="0" borderId="1" xfId="0" applyNumberFormat="1" applyBorder="1"/>
    <xf numFmtId="3" fontId="0" fillId="0" borderId="1" xfId="0" applyNumberFormat="1" applyFont="1" applyBorder="1" applyAlignment="1">
      <alignment vertical="center"/>
    </xf>
    <xf numFmtId="3" fontId="0" fillId="0" borderId="1" xfId="0" applyNumberFormat="1" applyFont="1" applyBorder="1"/>
    <xf numFmtId="3" fontId="2" fillId="0" borderId="1" xfId="0" applyNumberFormat="1" applyFont="1" applyBorder="1"/>
    <xf numFmtId="4" fontId="0" fillId="0" borderId="1" xfId="0" applyNumberFormat="1" applyBorder="1"/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6" xfId="0" applyBorder="1"/>
    <xf numFmtId="0" fontId="0" fillId="0" borderId="5" xfId="0" applyFill="1" applyBorder="1" applyAlignment="1">
      <alignment horizontal="center"/>
    </xf>
    <xf numFmtId="0" fontId="0" fillId="0" borderId="5" xfId="0" applyFill="1" applyBorder="1" applyAlignment="1">
      <alignment horizontal="center" wrapText="1"/>
    </xf>
    <xf numFmtId="0" fontId="0" fillId="0" borderId="6" xfId="0" applyBorder="1" applyAlignment="1">
      <alignment vertical="center"/>
    </xf>
    <xf numFmtId="0" fontId="2" fillId="0" borderId="6" xfId="0" applyFont="1" applyBorder="1"/>
    <xf numFmtId="0" fontId="0" fillId="0" borderId="5" xfId="0" applyBorder="1"/>
    <xf numFmtId="0" fontId="0" fillId="0" borderId="7" xfId="0" applyBorder="1"/>
    <xf numFmtId="3" fontId="0" fillId="0" borderId="8" xfId="0" applyNumberFormat="1" applyBorder="1"/>
    <xf numFmtId="0" fontId="0" fillId="0" borderId="9" xfId="0" applyBorder="1"/>
    <xf numFmtId="3" fontId="0" fillId="0" borderId="1" xfId="0" applyNumberForma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Fill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61" xfId="0" applyFont="1" applyBorder="1" applyAlignment="1">
      <alignment horizontal="center"/>
    </xf>
    <xf numFmtId="0" fontId="8" fillId="0" borderId="68" xfId="0" applyFont="1" applyBorder="1" applyAlignment="1">
      <alignment horizontal="center"/>
    </xf>
    <xf numFmtId="0" fontId="8" fillId="0" borderId="67" xfId="0" applyFont="1" applyBorder="1" applyAlignment="1">
      <alignment horizontal="center"/>
    </xf>
    <xf numFmtId="0" fontId="2" fillId="0" borderId="63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0" borderId="74" xfId="0" applyFont="1" applyFill="1" applyBorder="1" applyAlignment="1">
      <alignment horizontal="center"/>
    </xf>
    <xf numFmtId="0" fontId="8" fillId="0" borderId="75" xfId="0" applyFont="1" applyFill="1" applyBorder="1" applyAlignment="1">
      <alignment horizontal="center"/>
    </xf>
    <xf numFmtId="0" fontId="8" fillId="0" borderId="76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0" xfId="0" applyBorder="1" applyAlignment="1">
      <alignment horizontal="center"/>
    </xf>
    <xf numFmtId="164" fontId="8" fillId="0" borderId="30" xfId="0" applyNumberFormat="1" applyFont="1" applyBorder="1" applyAlignment="1">
      <alignment horizontal="center"/>
    </xf>
    <xf numFmtId="164" fontId="8" fillId="0" borderId="31" xfId="0" applyNumberFormat="1" applyFont="1" applyBorder="1" applyAlignment="1">
      <alignment horizontal="center"/>
    </xf>
    <xf numFmtId="164" fontId="8" fillId="0" borderId="32" xfId="0" applyNumberFormat="1" applyFont="1" applyBorder="1" applyAlignment="1">
      <alignment horizontal="center"/>
    </xf>
    <xf numFmtId="164" fontId="2" fillId="0" borderId="30" xfId="0" applyNumberFormat="1" applyFont="1" applyBorder="1" applyAlignment="1">
      <alignment horizontal="center"/>
    </xf>
    <xf numFmtId="164" fontId="2" fillId="0" borderId="31" xfId="0" applyNumberFormat="1" applyFont="1" applyBorder="1" applyAlignment="1">
      <alignment horizontal="center"/>
    </xf>
    <xf numFmtId="164" fontId="2" fillId="0" borderId="32" xfId="0" applyNumberFormat="1" applyFont="1" applyBorder="1" applyAlignment="1">
      <alignment horizontal="center"/>
    </xf>
    <xf numFmtId="164" fontId="2" fillId="0" borderId="63" xfId="0" applyNumberFormat="1" applyFont="1" applyBorder="1" applyAlignment="1">
      <alignment horizontal="center" vertical="center"/>
    </xf>
    <xf numFmtId="164" fontId="2" fillId="0" borderId="64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_rels/chart5.xml.rels><?xml version="1.0" encoding="UTF-8" standalone="yes"?>
<Relationships xmlns="http://schemas.openxmlformats.org/package/2006/relationships"><Relationship Id="rId1" Type="http://schemas.microsoft.com/office/2011/relationships/chartStyle" Target="style5.xml"/><Relationship Id="rId2" Type="http://schemas.microsoft.com/office/2011/relationships/chartColorStyle" Target="colors5.xml"/></Relationships>
</file>

<file path=xl/charts/_rels/chart6.xml.rels><?xml version="1.0" encoding="UTF-8" standalone="yes"?>
<Relationships xmlns="http://schemas.openxmlformats.org/package/2006/relationships"><Relationship Id="rId1" Type="http://schemas.microsoft.com/office/2011/relationships/chartStyle" Target="style6.xml"/><Relationship Id="rId2" Type="http://schemas.microsoft.com/office/2011/relationships/chartColorStyle" Target="colors6.xml"/><Relationship Id="rId3" Type="http://schemas.openxmlformats.org/officeDocument/2006/relationships/chartUserShapes" Target="../drawings/drawing7.xml"/></Relationships>
</file>

<file path=xl/charts/_rels/chart7.xml.rels><?xml version="1.0" encoding="UTF-8" standalone="yes"?>
<Relationships xmlns="http://schemas.openxmlformats.org/package/2006/relationships"><Relationship Id="rId1" Type="http://schemas.microsoft.com/office/2011/relationships/chartStyle" Target="style7.xml"/><Relationship Id="rId2" Type="http://schemas.microsoft.com/office/2011/relationships/chartColorStyle" Target="colors7.xml"/><Relationship Id="rId3" Type="http://schemas.openxmlformats.org/officeDocument/2006/relationships/chartUserShapes" Target="../drawings/drawing8.xml"/></Relationships>
</file>

<file path=xl/charts/_rels/chart8.xml.rels><?xml version="1.0" encoding="UTF-8" standalone="yes"?>
<Relationships xmlns="http://schemas.openxmlformats.org/package/2006/relationships"><Relationship Id="rId1" Type="http://schemas.microsoft.com/office/2011/relationships/chartStyle" Target="style8.xml"/><Relationship Id="rId2" Type="http://schemas.microsoft.com/office/2011/relationships/chartColorStyle" Target="colors8.xml"/><Relationship Id="rId3" Type="http://schemas.openxmlformats.org/officeDocument/2006/relationships/chartUserShapes" Target="../drawings/drawing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Vývoj ročních</a:t>
            </a:r>
            <a:r>
              <a:rPr lang="en-US" baseline="0"/>
              <a:t> plateb za teplo potřebné k přípravě TV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Teplárna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'Teplárna + FVE 18 kWp'!$B$28:$B$48</c:f>
              <c:numCache>
                <c:formatCode>#,##0</c:formatCode>
                <c:ptCount val="2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  <c:pt idx="11">
                  <c:v>11.0</c:v>
                </c:pt>
                <c:pt idx="12">
                  <c:v>12.0</c:v>
                </c:pt>
                <c:pt idx="13">
                  <c:v>13.0</c:v>
                </c:pt>
                <c:pt idx="14">
                  <c:v>14.0</c:v>
                </c:pt>
                <c:pt idx="15">
                  <c:v>15.0</c:v>
                </c:pt>
                <c:pt idx="16">
                  <c:v>16.0</c:v>
                </c:pt>
                <c:pt idx="17">
                  <c:v>17.0</c:v>
                </c:pt>
                <c:pt idx="18">
                  <c:v>18.0</c:v>
                </c:pt>
                <c:pt idx="19">
                  <c:v>19.0</c:v>
                </c:pt>
                <c:pt idx="20">
                  <c:v>20.0</c:v>
                </c:pt>
              </c:numCache>
            </c:numRef>
          </c:cat>
          <c:val>
            <c:numRef>
              <c:f>Teplárna!$K$7:$K$27</c:f>
              <c:numCache>
                <c:formatCode>#,##0</c:formatCode>
                <c:ptCount val="21"/>
                <c:pt idx="0">
                  <c:v>141142.148</c:v>
                </c:pt>
                <c:pt idx="1">
                  <c:v>146787.83392</c:v>
                </c:pt>
                <c:pt idx="2">
                  <c:v>152659.3472768</c:v>
                </c:pt>
                <c:pt idx="3">
                  <c:v>158765.721167872</c:v>
                </c:pt>
                <c:pt idx="4">
                  <c:v>165116.3500145869</c:v>
                </c:pt>
                <c:pt idx="5">
                  <c:v>171721.0040151704</c:v>
                </c:pt>
                <c:pt idx="6">
                  <c:v>178589.8441757772</c:v>
                </c:pt>
                <c:pt idx="7">
                  <c:v>185733.4379428083</c:v>
                </c:pt>
                <c:pt idx="8">
                  <c:v>193162.7754605207</c:v>
                </c:pt>
                <c:pt idx="9">
                  <c:v>200889.2864789415</c:v>
                </c:pt>
                <c:pt idx="10">
                  <c:v>208924.8579380992</c:v>
                </c:pt>
                <c:pt idx="11">
                  <c:v>217281.8522556231</c:v>
                </c:pt>
                <c:pt idx="12">
                  <c:v>225973.1263458481</c:v>
                </c:pt>
                <c:pt idx="13">
                  <c:v>235012.051399682</c:v>
                </c:pt>
                <c:pt idx="14">
                  <c:v>244412.5334556693</c:v>
                </c:pt>
                <c:pt idx="15">
                  <c:v>254189.034793896</c:v>
                </c:pt>
                <c:pt idx="16">
                  <c:v>264356.596185652</c:v>
                </c:pt>
                <c:pt idx="17">
                  <c:v>274930.8600330781</c:v>
                </c:pt>
                <c:pt idx="18">
                  <c:v>285928.0944344011</c:v>
                </c:pt>
                <c:pt idx="19">
                  <c:v>297365.2182117772</c:v>
                </c:pt>
                <c:pt idx="20">
                  <c:v>309259.8269402483</c:v>
                </c:pt>
              </c:numCache>
            </c:numRef>
          </c:val>
        </c:ser>
        <c:ser>
          <c:idx val="1"/>
          <c:order val="1"/>
          <c:tx>
            <c:v>Teplárna s FVE 20 kWp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'Teplárna + FVE 18 kWp'!$B$28:$B$48</c:f>
              <c:numCache>
                <c:formatCode>#,##0</c:formatCode>
                <c:ptCount val="2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  <c:pt idx="11">
                  <c:v>11.0</c:v>
                </c:pt>
                <c:pt idx="12">
                  <c:v>12.0</c:v>
                </c:pt>
                <c:pt idx="13">
                  <c:v>13.0</c:v>
                </c:pt>
                <c:pt idx="14">
                  <c:v>14.0</c:v>
                </c:pt>
                <c:pt idx="15">
                  <c:v>15.0</c:v>
                </c:pt>
                <c:pt idx="16">
                  <c:v>16.0</c:v>
                </c:pt>
                <c:pt idx="17">
                  <c:v>17.0</c:v>
                </c:pt>
                <c:pt idx="18">
                  <c:v>18.0</c:v>
                </c:pt>
                <c:pt idx="19">
                  <c:v>19.0</c:v>
                </c:pt>
                <c:pt idx="20">
                  <c:v>20.0</c:v>
                </c:pt>
              </c:numCache>
            </c:numRef>
          </c:cat>
          <c:val>
            <c:numRef>
              <c:f>'Teplárna + FVE 18 kWp'!$D$28:$D$48</c:f>
              <c:numCache>
                <c:formatCode>#,##0</c:formatCode>
                <c:ptCount val="21"/>
                <c:pt idx="0">
                  <c:v>141142.148</c:v>
                </c:pt>
                <c:pt idx="1">
                  <c:v>117426.2072</c:v>
                </c:pt>
                <c:pt idx="2">
                  <c:v>122205.4560367104</c:v>
                </c:pt>
                <c:pt idx="3">
                  <c:v>127187.3491208376</c:v>
                </c:pt>
                <c:pt idx="4">
                  <c:v>132380.4511940363</c:v>
                </c:pt>
                <c:pt idx="5">
                  <c:v>137793.6879464976</c:v>
                </c:pt>
                <c:pt idx="6">
                  <c:v>143436.3611892452</c:v>
                </c:pt>
                <c:pt idx="7">
                  <c:v>149318.1646626983</c:v>
                </c:pt>
                <c:pt idx="8">
                  <c:v>155449.2005081249</c:v>
                </c:pt>
                <c:pt idx="9">
                  <c:v>161839.9964297253</c:v>
                </c:pt>
                <c:pt idx="10">
                  <c:v>292197.5235762406</c:v>
                </c:pt>
                <c:pt idx="11">
                  <c:v>175445.2151721897</c:v>
                </c:pt>
                <c:pt idx="12">
                  <c:v>182682.9859300927</c:v>
                </c:pt>
                <c:pt idx="13">
                  <c:v>190227.2522763524</c:v>
                </c:pt>
                <c:pt idx="14">
                  <c:v>198090.9534248247</c:v>
                </c:pt>
                <c:pt idx="15">
                  <c:v>206287.5733335327</c:v>
                </c:pt>
                <c:pt idx="16">
                  <c:v>214831.1635814577</c:v>
                </c:pt>
                <c:pt idx="17">
                  <c:v>223736.367203883</c:v>
                </c:pt>
                <c:pt idx="18">
                  <c:v>233018.4435263718</c:v>
                </c:pt>
                <c:pt idx="19">
                  <c:v>242693.2940391336</c:v>
                </c:pt>
                <c:pt idx="20">
                  <c:v>252777.4893552742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4"/>
        <c:overlap val="-27"/>
        <c:axId val="-2002892928"/>
        <c:axId val="-2023530512"/>
      </c:barChart>
      <c:catAx>
        <c:axId val="-2002892928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23530512"/>
        <c:crosses val="autoZero"/>
        <c:auto val="1"/>
        <c:lblAlgn val="ctr"/>
        <c:lblOffset val="100"/>
        <c:noMultiLvlLbl val="0"/>
      </c:catAx>
      <c:valAx>
        <c:axId val="-2023530512"/>
        <c:scaling>
          <c:orientation val="minMax"/>
          <c:max val="30000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0289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Vývoj ročních</a:t>
            </a:r>
            <a:r>
              <a:rPr lang="en-US" baseline="0"/>
              <a:t> plateb za teplo potřebné k přípravě TV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Teplárna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'Teplárna + FVE 18 kWp'!$B$28:$B$48</c:f>
              <c:numCache>
                <c:formatCode>#,##0</c:formatCode>
                <c:ptCount val="2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  <c:pt idx="11">
                  <c:v>11.0</c:v>
                </c:pt>
                <c:pt idx="12">
                  <c:v>12.0</c:v>
                </c:pt>
                <c:pt idx="13">
                  <c:v>13.0</c:v>
                </c:pt>
                <c:pt idx="14">
                  <c:v>14.0</c:v>
                </c:pt>
                <c:pt idx="15">
                  <c:v>15.0</c:v>
                </c:pt>
                <c:pt idx="16">
                  <c:v>16.0</c:v>
                </c:pt>
                <c:pt idx="17">
                  <c:v>17.0</c:v>
                </c:pt>
                <c:pt idx="18">
                  <c:v>18.0</c:v>
                </c:pt>
                <c:pt idx="19">
                  <c:v>19.0</c:v>
                </c:pt>
                <c:pt idx="20">
                  <c:v>20.0</c:v>
                </c:pt>
              </c:numCache>
            </c:numRef>
          </c:cat>
          <c:val>
            <c:numRef>
              <c:f>Teplárna!$K$7:$K$27</c:f>
              <c:numCache>
                <c:formatCode>#,##0</c:formatCode>
                <c:ptCount val="21"/>
                <c:pt idx="0">
                  <c:v>141142.148</c:v>
                </c:pt>
                <c:pt idx="1">
                  <c:v>146787.83392</c:v>
                </c:pt>
                <c:pt idx="2">
                  <c:v>152659.3472768</c:v>
                </c:pt>
                <c:pt idx="3">
                  <c:v>158765.721167872</c:v>
                </c:pt>
                <c:pt idx="4">
                  <c:v>165116.3500145869</c:v>
                </c:pt>
                <c:pt idx="5">
                  <c:v>171721.0040151704</c:v>
                </c:pt>
                <c:pt idx="6">
                  <c:v>178589.8441757772</c:v>
                </c:pt>
                <c:pt idx="7">
                  <c:v>185733.4379428083</c:v>
                </c:pt>
                <c:pt idx="8">
                  <c:v>193162.7754605207</c:v>
                </c:pt>
                <c:pt idx="9">
                  <c:v>200889.2864789415</c:v>
                </c:pt>
                <c:pt idx="10">
                  <c:v>208924.8579380992</c:v>
                </c:pt>
                <c:pt idx="11">
                  <c:v>217281.8522556231</c:v>
                </c:pt>
                <c:pt idx="12">
                  <c:v>225973.1263458481</c:v>
                </c:pt>
                <c:pt idx="13">
                  <c:v>235012.051399682</c:v>
                </c:pt>
                <c:pt idx="14">
                  <c:v>244412.5334556693</c:v>
                </c:pt>
                <c:pt idx="15">
                  <c:v>254189.034793896</c:v>
                </c:pt>
                <c:pt idx="16">
                  <c:v>264356.596185652</c:v>
                </c:pt>
                <c:pt idx="17">
                  <c:v>274930.8600330781</c:v>
                </c:pt>
                <c:pt idx="18">
                  <c:v>285928.0944344011</c:v>
                </c:pt>
                <c:pt idx="19">
                  <c:v>297365.2182117772</c:v>
                </c:pt>
                <c:pt idx="20">
                  <c:v>309259.8269402483</c:v>
                </c:pt>
              </c:numCache>
            </c:numRef>
          </c:val>
        </c:ser>
        <c:ser>
          <c:idx val="1"/>
          <c:order val="1"/>
          <c:tx>
            <c:v>Teplárna s FVE 10 kWp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'Teplárna + FVE 18 kWp'!$B$28:$B$48</c:f>
              <c:numCache>
                <c:formatCode>#,##0</c:formatCode>
                <c:ptCount val="2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  <c:pt idx="11">
                  <c:v>11.0</c:v>
                </c:pt>
                <c:pt idx="12">
                  <c:v>12.0</c:v>
                </c:pt>
                <c:pt idx="13">
                  <c:v>13.0</c:v>
                </c:pt>
                <c:pt idx="14">
                  <c:v>14.0</c:v>
                </c:pt>
                <c:pt idx="15">
                  <c:v>15.0</c:v>
                </c:pt>
                <c:pt idx="16">
                  <c:v>16.0</c:v>
                </c:pt>
                <c:pt idx="17">
                  <c:v>17.0</c:v>
                </c:pt>
                <c:pt idx="18">
                  <c:v>18.0</c:v>
                </c:pt>
                <c:pt idx="19">
                  <c:v>19.0</c:v>
                </c:pt>
                <c:pt idx="20">
                  <c:v>20.0</c:v>
                </c:pt>
              </c:numCache>
            </c:numRef>
          </c:cat>
          <c:val>
            <c:numRef>
              <c:f>'Teplárna + FVE 10 kWp'!$D$29:$D$49</c:f>
              <c:numCache>
                <c:formatCode>#,##0</c:formatCode>
                <c:ptCount val="21"/>
                <c:pt idx="0">
                  <c:v>141142.148</c:v>
                </c:pt>
                <c:pt idx="1">
                  <c:v>131580.8700224</c:v>
                </c:pt>
                <c:pt idx="2">
                  <c:v>136866.4977709241</c:v>
                </c:pt>
                <c:pt idx="3">
                  <c:v>142369.7053872942</c:v>
                </c:pt>
                <c:pt idx="4">
                  <c:v>148099.4422565404</c:v>
                </c:pt>
                <c:pt idx="5">
                  <c:v>154065.0255867067</c:v>
                </c:pt>
                <c:pt idx="6">
                  <c:v>160276.1555156758</c:v>
                </c:pt>
                <c:pt idx="7">
                  <c:v>166742.9308380237</c:v>
                </c:pt>
                <c:pt idx="8">
                  <c:v>173475.8653773344</c:v>
                </c:pt>
                <c:pt idx="9">
                  <c:v>180485.9050304491</c:v>
                </c:pt>
                <c:pt idx="10">
                  <c:v>250582.4455112092</c:v>
                </c:pt>
                <c:pt idx="11">
                  <c:v>195383.3508223814</c:v>
                </c:pt>
                <c:pt idx="12">
                  <c:v>203294.9724856295</c:v>
                </c:pt>
                <c:pt idx="13">
                  <c:v>211532.1695606216</c:v>
                </c:pt>
                <c:pt idx="14">
                  <c:v>220108.329485636</c:v>
                </c:pt>
                <c:pt idx="15">
                  <c:v>229037.3897733547</c:v>
                </c:pt>
                <c:pt idx="16">
                  <c:v>238333.8605969138</c:v>
                </c:pt>
                <c:pt idx="17">
                  <c:v>248012.8483027203</c:v>
                </c:pt>
                <c:pt idx="18">
                  <c:v>258090.0798880361</c:v>
                </c:pt>
                <c:pt idx="19">
                  <c:v>268581.928482893</c:v>
                </c:pt>
                <c:pt idx="20">
                  <c:v>279505.4398775174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4"/>
        <c:overlap val="-27"/>
        <c:axId val="-2004076192"/>
        <c:axId val="-2057534720"/>
      </c:barChart>
      <c:catAx>
        <c:axId val="-2004076192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57534720"/>
        <c:crosses val="autoZero"/>
        <c:auto val="1"/>
        <c:lblAlgn val="ctr"/>
        <c:lblOffset val="100"/>
        <c:noMultiLvlLbl val="0"/>
      </c:catAx>
      <c:valAx>
        <c:axId val="-2057534720"/>
        <c:scaling>
          <c:orientation val="minMax"/>
          <c:max val="30000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04076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Měsíční diagram spotřeby tepla pro přípravu teplé</a:t>
            </a:r>
            <a:r>
              <a:rPr lang="en-US" baseline="0"/>
              <a:t> vody, Varianta 2</a:t>
            </a:r>
            <a:endParaRPr lang="en-US"/>
          </a:p>
        </c:rich>
      </c:tx>
      <c:layout>
        <c:manualLayout>
          <c:xMode val="edge"/>
          <c:yMode val="edge"/>
          <c:x val="0.257840909090909"/>
          <c:y val="0.0354464552690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527819592404"/>
          <c:y val="0.141996779388084"/>
          <c:w val="0.867575121584067"/>
          <c:h val="0.704787807321186"/>
        </c:manualLayout>
      </c:layout>
      <c:barChart>
        <c:barDir val="col"/>
        <c:grouping val="stacked"/>
        <c:varyColors val="0"/>
        <c:ser>
          <c:idx val="1"/>
          <c:order val="0"/>
          <c:tx>
            <c:v>Spotřeba po instalaci FVE [GJ]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Diagram!$B$6:$B$17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</c:v>
                </c:pt>
                <c:pt idx="4">
                  <c:v>Květen</c:v>
                </c:pt>
                <c:pt idx="5">
                  <c:v>Červen</c:v>
                </c:pt>
                <c:pt idx="6">
                  <c:v>Červenec</c:v>
                </c:pt>
                <c:pt idx="7">
                  <c:v>Srpen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Diagram!$F$6:$F$17</c:f>
              <c:numCache>
                <c:formatCode>0.00</c:formatCode>
                <c:ptCount val="12"/>
                <c:pt idx="0">
                  <c:v>24.74128888888889</c:v>
                </c:pt>
                <c:pt idx="1">
                  <c:v>21.56848888888889</c:v>
                </c:pt>
                <c:pt idx="2">
                  <c:v>21.25928888888889</c:v>
                </c:pt>
                <c:pt idx="3">
                  <c:v>18.4568888888889</c:v>
                </c:pt>
                <c:pt idx="4">
                  <c:v>17.25688888888889</c:v>
                </c:pt>
                <c:pt idx="5">
                  <c:v>15.39866666666667</c:v>
                </c:pt>
                <c:pt idx="6">
                  <c:v>11.97066666666667</c:v>
                </c:pt>
                <c:pt idx="7">
                  <c:v>12.15066666666667</c:v>
                </c:pt>
                <c:pt idx="8">
                  <c:v>19.1140888888889</c:v>
                </c:pt>
                <c:pt idx="9">
                  <c:v>20.19368888888889</c:v>
                </c:pt>
                <c:pt idx="10">
                  <c:v>23.43568888888889</c:v>
                </c:pt>
                <c:pt idx="11">
                  <c:v>24.86008888888889</c:v>
                </c:pt>
              </c:numCache>
            </c:numRef>
          </c:val>
        </c:ser>
        <c:ser>
          <c:idx val="2"/>
          <c:order val="1"/>
          <c:tx>
            <c:v>Výroba FVE [GJ]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Diagram!$B$6:$B$17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</c:v>
                </c:pt>
                <c:pt idx="4">
                  <c:v>Květen</c:v>
                </c:pt>
                <c:pt idx="5">
                  <c:v>Červen</c:v>
                </c:pt>
                <c:pt idx="6">
                  <c:v>Červenec</c:v>
                </c:pt>
                <c:pt idx="7">
                  <c:v>Srpen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Diagram!$E$6:$E$17</c:f>
              <c:numCache>
                <c:formatCode>0.00</c:formatCode>
                <c:ptCount val="12"/>
                <c:pt idx="0">
                  <c:v>0.9216</c:v>
                </c:pt>
                <c:pt idx="1">
                  <c:v>1.6344</c:v>
                </c:pt>
                <c:pt idx="2">
                  <c:v>3.1536</c:v>
                </c:pt>
                <c:pt idx="3">
                  <c:v>3.996</c:v>
                </c:pt>
                <c:pt idx="4">
                  <c:v>4.176</c:v>
                </c:pt>
                <c:pt idx="5">
                  <c:v>4.176</c:v>
                </c:pt>
                <c:pt idx="6">
                  <c:v>4.104</c:v>
                </c:pt>
                <c:pt idx="7">
                  <c:v>3.924</c:v>
                </c:pt>
                <c:pt idx="8">
                  <c:v>3.0888</c:v>
                </c:pt>
                <c:pt idx="9">
                  <c:v>2.2392</c:v>
                </c:pt>
                <c:pt idx="10">
                  <c:v>0.9972</c:v>
                </c:pt>
                <c:pt idx="11">
                  <c:v>0.8028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84"/>
        <c:overlap val="100"/>
        <c:axId val="-1998555232"/>
        <c:axId val="-1977379280"/>
      </c:barChart>
      <c:catAx>
        <c:axId val="-199855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77379280"/>
        <c:crosses val="autoZero"/>
        <c:auto val="1"/>
        <c:lblAlgn val="ctr"/>
        <c:lblOffset val="100"/>
        <c:noMultiLvlLbl val="0"/>
      </c:catAx>
      <c:valAx>
        <c:axId val="-1977379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</a:t>
                </a:r>
                <a:r>
                  <a:rPr lang="en-US" baseline="0"/>
                  <a:t> [GJ/měsíc]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0240308012968967"/>
              <c:y val="0.35100840655787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98555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Diagram</a:t>
            </a:r>
            <a:r>
              <a:rPr lang="en-US" baseline="0"/>
              <a:t> měsíční spotřeby tepla pro přípravu TV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Spotřeba [GJ]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Diagram!$B$6:$B$17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</c:v>
                </c:pt>
                <c:pt idx="4">
                  <c:v>Květen</c:v>
                </c:pt>
                <c:pt idx="5">
                  <c:v>Červen</c:v>
                </c:pt>
                <c:pt idx="6">
                  <c:v>Červenec</c:v>
                </c:pt>
                <c:pt idx="7">
                  <c:v>Srpen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Diagram!$C$6:$C$17</c:f>
              <c:numCache>
                <c:formatCode>0.00</c:formatCode>
                <c:ptCount val="12"/>
                <c:pt idx="0">
                  <c:v>25.6628888888889</c:v>
                </c:pt>
                <c:pt idx="1">
                  <c:v>23.20288888888889</c:v>
                </c:pt>
                <c:pt idx="2">
                  <c:v>24.4128888888889</c:v>
                </c:pt>
                <c:pt idx="3">
                  <c:v>22.45288888888889</c:v>
                </c:pt>
                <c:pt idx="4">
                  <c:v>21.43288888888889</c:v>
                </c:pt>
                <c:pt idx="5">
                  <c:v>19.57466666666667</c:v>
                </c:pt>
                <c:pt idx="6">
                  <c:v>16.07466666666667</c:v>
                </c:pt>
                <c:pt idx="7">
                  <c:v>16.07466666666667</c:v>
                </c:pt>
                <c:pt idx="8">
                  <c:v>22.20288888888889</c:v>
                </c:pt>
                <c:pt idx="9">
                  <c:v>22.43288888888889</c:v>
                </c:pt>
                <c:pt idx="10">
                  <c:v>24.43288888888889</c:v>
                </c:pt>
                <c:pt idx="11">
                  <c:v>25.6628888888889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5"/>
        <c:overlap val="-27"/>
        <c:axId val="-2059158800"/>
        <c:axId val="-1975499216"/>
      </c:barChart>
      <c:catAx>
        <c:axId val="-2059158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75499216"/>
        <c:crosses val="autoZero"/>
        <c:auto val="1"/>
        <c:lblAlgn val="ctr"/>
        <c:lblOffset val="100"/>
        <c:noMultiLvlLbl val="0"/>
      </c:catAx>
      <c:valAx>
        <c:axId val="-197549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59158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Měsíční diagram spotřeby tepla pro přípravu teplé</a:t>
            </a:r>
            <a:r>
              <a:rPr lang="en-US" baseline="0"/>
              <a:t> vody, Varianta 1</a:t>
            </a:r>
            <a:endParaRPr lang="en-US"/>
          </a:p>
        </c:rich>
      </c:tx>
      <c:layout>
        <c:manualLayout>
          <c:xMode val="edge"/>
          <c:yMode val="edge"/>
          <c:x val="0.257840909090909"/>
          <c:y val="0.0354464552690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527819592404"/>
          <c:y val="0.141996779388084"/>
          <c:w val="0.867575121584067"/>
          <c:h val="0.704787807321186"/>
        </c:manualLayout>
      </c:layout>
      <c:barChart>
        <c:barDir val="col"/>
        <c:grouping val="stacked"/>
        <c:varyColors val="0"/>
        <c:ser>
          <c:idx val="1"/>
          <c:order val="0"/>
          <c:tx>
            <c:v>Spotřeba po instalaci FVE [GJ]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Diagram!$B$6:$B$17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</c:v>
                </c:pt>
                <c:pt idx="4">
                  <c:v>Květen</c:v>
                </c:pt>
                <c:pt idx="5">
                  <c:v>Červen</c:v>
                </c:pt>
                <c:pt idx="6">
                  <c:v>Červenec</c:v>
                </c:pt>
                <c:pt idx="7">
                  <c:v>Srpen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Diagram!$O$6:$O$17</c:f>
              <c:numCache>
                <c:formatCode>0.00</c:formatCode>
                <c:ptCount val="12"/>
                <c:pt idx="0">
                  <c:v>24.00328888888889</c:v>
                </c:pt>
                <c:pt idx="1">
                  <c:v>20.25808888888889</c:v>
                </c:pt>
                <c:pt idx="2">
                  <c:v>18.7248888888889</c:v>
                </c:pt>
                <c:pt idx="3">
                  <c:v>15.21688888888889</c:v>
                </c:pt>
                <c:pt idx="4">
                  <c:v>13.90888888888889</c:v>
                </c:pt>
                <c:pt idx="5">
                  <c:v>12.01466666666667</c:v>
                </c:pt>
                <c:pt idx="6">
                  <c:v>8.69466666666667</c:v>
                </c:pt>
                <c:pt idx="7">
                  <c:v>9.018666666666668</c:v>
                </c:pt>
                <c:pt idx="8">
                  <c:v>16.65888888888889</c:v>
                </c:pt>
                <c:pt idx="9">
                  <c:v>18.40088888888889</c:v>
                </c:pt>
                <c:pt idx="10">
                  <c:v>22.64008888888889</c:v>
                </c:pt>
                <c:pt idx="11">
                  <c:v>24.21568888888889</c:v>
                </c:pt>
              </c:numCache>
            </c:numRef>
          </c:val>
        </c:ser>
        <c:ser>
          <c:idx val="2"/>
          <c:order val="1"/>
          <c:tx>
            <c:v>Výroba FVE [GJ]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Diagram!$B$6:$B$17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</c:v>
                </c:pt>
                <c:pt idx="4">
                  <c:v>Květen</c:v>
                </c:pt>
                <c:pt idx="5">
                  <c:v>Červen</c:v>
                </c:pt>
                <c:pt idx="6">
                  <c:v>Červenec</c:v>
                </c:pt>
                <c:pt idx="7">
                  <c:v>Srpen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Diagram!$N$6:$N$17</c:f>
              <c:numCache>
                <c:formatCode>0.00</c:formatCode>
                <c:ptCount val="12"/>
                <c:pt idx="0">
                  <c:v>1.6596</c:v>
                </c:pt>
                <c:pt idx="1">
                  <c:v>2.9448</c:v>
                </c:pt>
                <c:pt idx="2">
                  <c:v>5.688</c:v>
                </c:pt>
                <c:pt idx="3">
                  <c:v>7.236</c:v>
                </c:pt>
                <c:pt idx="4">
                  <c:v>7.524</c:v>
                </c:pt>
                <c:pt idx="5">
                  <c:v>7.56</c:v>
                </c:pt>
                <c:pt idx="6">
                  <c:v>7.38</c:v>
                </c:pt>
                <c:pt idx="7">
                  <c:v>7.056</c:v>
                </c:pt>
                <c:pt idx="8">
                  <c:v>5.544</c:v>
                </c:pt>
                <c:pt idx="9">
                  <c:v>4.032</c:v>
                </c:pt>
                <c:pt idx="10">
                  <c:v>1.7928</c:v>
                </c:pt>
                <c:pt idx="11">
                  <c:v>1.4472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84"/>
        <c:overlap val="100"/>
        <c:axId val="-2058878672"/>
        <c:axId val="-2059263936"/>
      </c:barChart>
      <c:catAx>
        <c:axId val="-205887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59263936"/>
        <c:crosses val="autoZero"/>
        <c:auto val="1"/>
        <c:lblAlgn val="ctr"/>
        <c:lblOffset val="100"/>
        <c:noMultiLvlLbl val="0"/>
      </c:catAx>
      <c:valAx>
        <c:axId val="-2059263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</a:t>
                </a:r>
                <a:r>
                  <a:rPr lang="en-US" baseline="0"/>
                  <a:t> [GJ/měsíc]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0240308012968967"/>
              <c:y val="0.35100840655787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588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Citlivostní analýza</a:t>
            </a:r>
            <a:r>
              <a:rPr lang="en-US" baseline="0"/>
              <a:t> na růstu cen tepelné energie pro přípravu TV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158222537757"/>
          <c:y val="0.11303664921466"/>
          <c:w val="0.869202433199948"/>
          <c:h val="0.695501504720287"/>
        </c:manualLayout>
      </c:layout>
      <c:lineChart>
        <c:grouping val="standard"/>
        <c:varyColors val="0"/>
        <c:ser>
          <c:idx val="0"/>
          <c:order val="0"/>
          <c:tx>
            <c:v>Varianta 0</c:v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Citlivostní_analýza!$A$5:$A$15</c:f>
              <c:numCache>
                <c:formatCode>0%</c:formatCode>
                <c:ptCount val="11"/>
                <c:pt idx="0">
                  <c:v>0.0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0.07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</c:numCache>
            </c:numRef>
          </c:cat>
          <c:val>
            <c:numRef>
              <c:f>Citlivostní_analýza!$B$5:$B$15</c:f>
              <c:numCache>
                <c:formatCode>#,##0</c:formatCode>
                <c:ptCount val="11"/>
                <c:pt idx="0">
                  <c:v>2099.83875862069</c:v>
                </c:pt>
                <c:pt idx="1">
                  <c:v>2312.292735303665</c:v>
                </c:pt>
                <c:pt idx="2">
                  <c:v>2552.023555255383</c:v>
                </c:pt>
                <c:pt idx="3">
                  <c:v>2822.842960000001</c:v>
                </c:pt>
                <c:pt idx="4">
                  <c:v>3129.102071750431</c:v>
                </c:pt>
                <c:pt idx="5">
                  <c:v>3475.766101757592</c:v>
                </c:pt>
                <c:pt idx="6">
                  <c:v>3868.498987965614</c:v>
                </c:pt>
                <c:pt idx="7">
                  <c:v>4313.759210980285</c:v>
                </c:pt>
                <c:pt idx="8">
                  <c:v>4818.908184431604</c:v>
                </c:pt>
                <c:pt idx="9">
                  <c:v>5392.332778937588</c:v>
                </c:pt>
                <c:pt idx="10">
                  <c:v>6043.583719663721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Citlivostní_analýza!$C$4</c:f>
              <c:strCache>
                <c:ptCount val="1"/>
                <c:pt idx="0">
                  <c:v>Varianta 1</c:v>
                </c:pt>
              </c:strCache>
            </c:strRef>
          </c:tx>
          <c:spPr>
            <a:ln w="15875" cap="rnd">
              <a:solidFill>
                <a:schemeClr val="accent2"/>
              </a:solidFill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Citlivostní_analýza!$A$5:$A$15</c:f>
              <c:numCache>
                <c:formatCode>0%</c:formatCode>
                <c:ptCount val="11"/>
                <c:pt idx="0">
                  <c:v>0.0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0.07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</c:numCache>
            </c:numRef>
          </c:cat>
          <c:val>
            <c:numRef>
              <c:f>Citlivostní_analýza!$C$5:$C$15</c:f>
              <c:numCache>
                <c:formatCode>#,##0</c:formatCode>
                <c:ptCount val="11"/>
                <c:pt idx="0">
                  <c:v>2515.358039693035</c:v>
                </c:pt>
                <c:pt idx="1">
                  <c:v>2682.73257676531</c:v>
                </c:pt>
                <c:pt idx="2">
                  <c:v>2871.705008198893</c:v>
                </c:pt>
                <c:pt idx="3">
                  <c:v>3085.302442182597</c:v>
                </c:pt>
                <c:pt idx="4">
                  <c:v>3326.981162799122</c:v>
                </c:pt>
                <c:pt idx="5">
                  <c:v>3600.686153887747</c:v>
                </c:pt>
                <c:pt idx="6">
                  <c:v>3910.918541864411</c:v>
                </c:pt>
                <c:pt idx="7">
                  <c:v>4262.811954373001</c:v>
                </c:pt>
                <c:pt idx="8">
                  <c:v>4662.21890909529</c:v>
                </c:pt>
                <c:pt idx="9">
                  <c:v>5115.808477326616</c:v>
                </c:pt>
                <c:pt idx="10">
                  <c:v>5631.1766113153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Citlivostní_analýza!$D$4</c:f>
              <c:strCache>
                <c:ptCount val="1"/>
                <c:pt idx="0">
                  <c:v>Varianta 2</c:v>
                </c:pt>
              </c:strCache>
            </c:strRef>
          </c:tx>
          <c:spPr>
            <a:ln w="15875" cap="rnd">
              <a:solidFill>
                <a:schemeClr val="accent6"/>
              </a:solidFill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Citlivostní_analýza!$A$5:$A$15</c:f>
              <c:numCache>
                <c:formatCode>0%</c:formatCode>
                <c:ptCount val="11"/>
                <c:pt idx="0">
                  <c:v>0.0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0.07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</c:numCache>
            </c:numRef>
          </c:cat>
          <c:val>
            <c:numRef>
              <c:f>Citlivostní_analýza!$D$5:$D$15</c:f>
              <c:numCache>
                <c:formatCode>#,##0</c:formatCode>
                <c:ptCount val="11"/>
                <c:pt idx="0">
                  <c:v>2375.508969214424</c:v>
                </c:pt>
                <c:pt idx="1">
                  <c:v>2563.782544162033</c:v>
                </c:pt>
                <c:pt idx="2">
                  <c:v>2776.286800598151</c:v>
                </c:pt>
                <c:pt idx="3">
                  <c:v>3016.412606375314</c:v>
                </c:pt>
                <c:pt idx="4">
                  <c:v>3288.031096695431</c:v>
                </c:pt>
                <c:pt idx="5">
                  <c:v>3595.560237571056</c:v>
                </c:pt>
                <c:pt idx="6">
                  <c:v>3944.040240251027</c:v>
                </c:pt>
                <c:pt idx="7">
                  <c:v>4339.218940374471</c:v>
                </c:pt>
                <c:pt idx="8">
                  <c:v>4787.648386802883</c:v>
                </c:pt>
                <c:pt idx="9">
                  <c:v>5296.794030587353</c:v>
                </c:pt>
                <c:pt idx="10">
                  <c:v>5875.158065792573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55893136"/>
        <c:axId val="-1974810192"/>
      </c:lineChart>
      <c:catAx>
        <c:axId val="-20558931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Růst cen</a:t>
                </a:r>
                <a:r>
                  <a:rPr lang="en-US" baseline="0"/>
                  <a:t>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74810192"/>
        <c:crosses val="autoZero"/>
        <c:auto val="1"/>
        <c:lblAlgn val="ctr"/>
        <c:lblOffset val="100"/>
        <c:noMultiLvlLbl val="0"/>
      </c:catAx>
      <c:valAx>
        <c:axId val="-1974810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NPV [tis.Kč]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5589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Citlivostní analýza na diskontní míře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Citlivostní_analýza!$B$26</c:f>
              <c:strCache>
                <c:ptCount val="1"/>
                <c:pt idx="0">
                  <c:v>Varianta 0</c:v>
                </c:pt>
              </c:strCache>
            </c:strRef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Citlivostní_analýza!$A$32:$A$47</c:f>
              <c:numCache>
                <c:formatCode>0%</c:formatCode>
                <c:ptCount val="16"/>
                <c:pt idx="0">
                  <c:v>-0.05</c:v>
                </c:pt>
                <c:pt idx="1">
                  <c:v>-0.04</c:v>
                </c:pt>
                <c:pt idx="2">
                  <c:v>-0.03</c:v>
                </c:pt>
                <c:pt idx="3">
                  <c:v>-0.02</c:v>
                </c:pt>
                <c:pt idx="4">
                  <c:v>-0.01</c:v>
                </c:pt>
                <c:pt idx="5">
                  <c:v>0.0</c:v>
                </c:pt>
                <c:pt idx="6">
                  <c:v>0.01</c:v>
                </c:pt>
                <c:pt idx="7">
                  <c:v>0.02</c:v>
                </c:pt>
                <c:pt idx="8">
                  <c:v>0.03</c:v>
                </c:pt>
                <c:pt idx="9">
                  <c:v>0.04</c:v>
                </c:pt>
                <c:pt idx="10">
                  <c:v>0.05</c:v>
                </c:pt>
                <c:pt idx="11">
                  <c:v>0.06</c:v>
                </c:pt>
                <c:pt idx="12">
                  <c:v>0.07</c:v>
                </c:pt>
                <c:pt idx="13">
                  <c:v>0.08</c:v>
                </c:pt>
                <c:pt idx="14">
                  <c:v>0.09</c:v>
                </c:pt>
                <c:pt idx="15">
                  <c:v>0.1</c:v>
                </c:pt>
              </c:numCache>
            </c:numRef>
          </c:cat>
          <c:val>
            <c:numRef>
              <c:f>Citlivostní_analýza!$B$32:$B$47</c:f>
              <c:numCache>
                <c:formatCode>#,##0</c:formatCode>
                <c:ptCount val="16"/>
                <c:pt idx="0">
                  <c:v>8337.809138108109</c:v>
                </c:pt>
                <c:pt idx="1">
                  <c:v>7260.979252644268</c:v>
                </c:pt>
                <c:pt idx="2">
                  <c:v>6352.396937947982</c:v>
                </c:pt>
                <c:pt idx="3">
                  <c:v>5582.954403322621</c:v>
                </c:pt>
                <c:pt idx="4">
                  <c:v>4928.95763647579</c:v>
                </c:pt>
                <c:pt idx="5">
                  <c:v>4371.059652446452</c:v>
                </c:pt>
                <c:pt idx="6">
                  <c:v>3893.414479633443</c:v>
                </c:pt>
                <c:pt idx="7">
                  <c:v>3483.00420066279</c:v>
                </c:pt>
                <c:pt idx="8">
                  <c:v>3129.102071750431</c:v>
                </c:pt>
                <c:pt idx="9">
                  <c:v>2822.842960000001</c:v>
                </c:pt>
                <c:pt idx="10">
                  <c:v>2556.878662114007</c:v>
                </c:pt>
                <c:pt idx="11">
                  <c:v>2325.100550451024</c:v>
                </c:pt>
                <c:pt idx="12">
                  <c:v>2122.415772939331</c:v>
                </c:pt>
                <c:pt idx="13">
                  <c:v>1944.566169204905</c:v>
                </c:pt>
                <c:pt idx="14">
                  <c:v>1787.981351626944</c:v>
                </c:pt>
                <c:pt idx="15">
                  <c:v>1649.659185572367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Citlivostní_analýza!$C$26</c:f>
              <c:strCache>
                <c:ptCount val="1"/>
                <c:pt idx="0">
                  <c:v>Varianta 1</c:v>
                </c:pt>
              </c:strCache>
            </c:strRef>
          </c:tx>
          <c:spPr>
            <a:ln w="15875" cap="rnd">
              <a:solidFill>
                <a:schemeClr val="accent2"/>
              </a:solidFill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Citlivostní_analýza!$A$32:$A$47</c:f>
              <c:numCache>
                <c:formatCode>0%</c:formatCode>
                <c:ptCount val="16"/>
                <c:pt idx="0">
                  <c:v>-0.05</c:v>
                </c:pt>
                <c:pt idx="1">
                  <c:v>-0.04</c:v>
                </c:pt>
                <c:pt idx="2">
                  <c:v>-0.03</c:v>
                </c:pt>
                <c:pt idx="3">
                  <c:v>-0.02</c:v>
                </c:pt>
                <c:pt idx="4">
                  <c:v>-0.01</c:v>
                </c:pt>
                <c:pt idx="5">
                  <c:v>0.0</c:v>
                </c:pt>
                <c:pt idx="6">
                  <c:v>0.01</c:v>
                </c:pt>
                <c:pt idx="7">
                  <c:v>0.02</c:v>
                </c:pt>
                <c:pt idx="8">
                  <c:v>0.03</c:v>
                </c:pt>
                <c:pt idx="9">
                  <c:v>0.04</c:v>
                </c:pt>
                <c:pt idx="10">
                  <c:v>0.05</c:v>
                </c:pt>
                <c:pt idx="11">
                  <c:v>0.06</c:v>
                </c:pt>
                <c:pt idx="12">
                  <c:v>0.07</c:v>
                </c:pt>
                <c:pt idx="13">
                  <c:v>0.08</c:v>
                </c:pt>
                <c:pt idx="14">
                  <c:v>0.09</c:v>
                </c:pt>
                <c:pt idx="15">
                  <c:v>0.1</c:v>
                </c:pt>
              </c:numCache>
            </c:numRef>
          </c:cat>
          <c:val>
            <c:numRef>
              <c:f>Citlivostní_analýza!$C$32:$C$47</c:f>
              <c:numCache>
                <c:formatCode>#,##0</c:formatCode>
                <c:ptCount val="16"/>
                <c:pt idx="0">
                  <c:v>7669.650616138818</c:v>
                </c:pt>
                <c:pt idx="1">
                  <c:v>6774.438963310675</c:v>
                </c:pt>
                <c:pt idx="2">
                  <c:v>6018.28356576101</c:v>
                </c:pt>
                <c:pt idx="3">
                  <c:v>5377.232736496728</c:v>
                </c:pt>
                <c:pt idx="4">
                  <c:v>4831.776303297072</c:v>
                </c:pt>
                <c:pt idx="5">
                  <c:v>4365.972135707228</c:v>
                </c:pt>
                <c:pt idx="6">
                  <c:v>3966.753190362645</c:v>
                </c:pt>
                <c:pt idx="7">
                  <c:v>3623.376110902157</c:v>
                </c:pt>
                <c:pt idx="8">
                  <c:v>3326.981162799122</c:v>
                </c:pt>
                <c:pt idx="9">
                  <c:v>3070.239994304995</c:v>
                </c:pt>
                <c:pt idx="10">
                  <c:v>2847.072880860737</c:v>
                </c:pt>
                <c:pt idx="11">
                  <c:v>2652.421099291338</c:v>
                </c:pt>
                <c:pt idx="12">
                  <c:v>2482.063167200083</c:v>
                </c:pt>
                <c:pt idx="13">
                  <c:v>2332.466082169145</c:v>
                </c:pt>
                <c:pt idx="14">
                  <c:v>2200.664564061461</c:v>
                </c:pt>
                <c:pt idx="15">
                  <c:v>2084.162763304219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Citlivostní_analýza!$D$26</c:f>
              <c:strCache>
                <c:ptCount val="1"/>
                <c:pt idx="0">
                  <c:v>Varianta 2</c:v>
                </c:pt>
              </c:strCache>
            </c:strRef>
          </c:tx>
          <c:spPr>
            <a:ln w="15875" cap="rnd">
              <a:solidFill>
                <a:schemeClr val="accent6"/>
              </a:solidFill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Citlivostní_analýza!$A$32:$A$47</c:f>
              <c:numCache>
                <c:formatCode>0%</c:formatCode>
                <c:ptCount val="16"/>
                <c:pt idx="0">
                  <c:v>-0.05</c:v>
                </c:pt>
                <c:pt idx="1">
                  <c:v>-0.04</c:v>
                </c:pt>
                <c:pt idx="2">
                  <c:v>-0.03</c:v>
                </c:pt>
                <c:pt idx="3">
                  <c:v>-0.02</c:v>
                </c:pt>
                <c:pt idx="4">
                  <c:v>-0.01</c:v>
                </c:pt>
                <c:pt idx="5">
                  <c:v>0.0</c:v>
                </c:pt>
                <c:pt idx="6">
                  <c:v>0.01</c:v>
                </c:pt>
                <c:pt idx="7">
                  <c:v>0.02</c:v>
                </c:pt>
                <c:pt idx="8">
                  <c:v>0.03</c:v>
                </c:pt>
                <c:pt idx="9">
                  <c:v>0.04</c:v>
                </c:pt>
                <c:pt idx="10">
                  <c:v>0.05</c:v>
                </c:pt>
                <c:pt idx="11">
                  <c:v>0.06</c:v>
                </c:pt>
                <c:pt idx="12">
                  <c:v>0.07</c:v>
                </c:pt>
                <c:pt idx="13">
                  <c:v>0.08</c:v>
                </c:pt>
                <c:pt idx="14">
                  <c:v>0.09</c:v>
                </c:pt>
                <c:pt idx="15">
                  <c:v>0.1</c:v>
                </c:pt>
              </c:numCache>
            </c:numRef>
          </c:cat>
          <c:val>
            <c:numRef>
              <c:f>Citlivostní_analýza!$D$32:$D$47</c:f>
              <c:numCache>
                <c:formatCode>#,##0</c:formatCode>
                <c:ptCount val="16"/>
                <c:pt idx="0">
                  <c:v>8040.254838302621</c:v>
                </c:pt>
                <c:pt idx="1">
                  <c:v>7059.13955147431</c:v>
                </c:pt>
                <c:pt idx="2">
                  <c:v>6230.893276912486</c:v>
                </c:pt>
                <c:pt idx="3">
                  <c:v>5529.123536919052</c:v>
                </c:pt>
                <c:pt idx="4">
                  <c:v>4932.339747895013</c:v>
                </c:pt>
                <c:pt idx="5">
                  <c:v>4422.988212572262</c:v>
                </c:pt>
                <c:pt idx="6">
                  <c:v>3986.686679437775</c:v>
                </c:pt>
                <c:pt idx="7">
                  <c:v>3611.615376106346</c:v>
                </c:pt>
                <c:pt idx="8">
                  <c:v>3288.031096695433</c:v>
                </c:pt>
                <c:pt idx="9">
                  <c:v>3007.878346925997</c:v>
                </c:pt>
                <c:pt idx="10">
                  <c:v>2764.477265265747</c:v>
                </c:pt>
                <c:pt idx="11">
                  <c:v>2552.27245059767</c:v>
                </c:pt>
                <c:pt idx="12">
                  <c:v>2366.630243518796</c:v>
                </c:pt>
                <c:pt idx="13">
                  <c:v>2203.674661753953</c:v>
                </c:pt>
                <c:pt idx="14">
                  <c:v>2060.154256687032</c:v>
                </c:pt>
                <c:pt idx="15">
                  <c:v>1933.333771985755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24509360"/>
        <c:axId val="-2059935056"/>
      </c:lineChart>
      <c:catAx>
        <c:axId val="-2024509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Diskontní míra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59935056"/>
        <c:crosses val="autoZero"/>
        <c:auto val="1"/>
        <c:lblAlgn val="ctr"/>
        <c:lblOffset val="100"/>
        <c:noMultiLvlLbl val="0"/>
      </c:catAx>
      <c:valAx>
        <c:axId val="-2059935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NPV [tis.Kč]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24509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Citlivostní analýza vlivu dotace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Varianta 0</c:v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Citlivostní_analýza!$A$55:$A$63</c:f>
              <c:numCache>
                <c:formatCode>0%</c:formatCode>
                <c:ptCount val="9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</c:numCache>
            </c:numRef>
          </c:cat>
          <c:val>
            <c:numRef>
              <c:f>Citlivostní_analýza!$B$55:$B$63</c:f>
              <c:numCache>
                <c:formatCode>#,##0</c:formatCode>
                <c:ptCount val="9"/>
                <c:pt idx="0">
                  <c:v>3129.102071750431</c:v>
                </c:pt>
                <c:pt idx="1">
                  <c:v>3129.102071750431</c:v>
                </c:pt>
                <c:pt idx="2">
                  <c:v>3129.102071750431</c:v>
                </c:pt>
                <c:pt idx="3">
                  <c:v>3129.102071750431</c:v>
                </c:pt>
                <c:pt idx="4">
                  <c:v>3129.102071750431</c:v>
                </c:pt>
                <c:pt idx="5">
                  <c:v>3129.102071750431</c:v>
                </c:pt>
                <c:pt idx="6">
                  <c:v>3129.102071750431</c:v>
                </c:pt>
                <c:pt idx="7">
                  <c:v>3129.102071750431</c:v>
                </c:pt>
                <c:pt idx="8">
                  <c:v>3129.102071750431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Citlivostní_analýza!$C$54</c:f>
              <c:strCache>
                <c:ptCount val="1"/>
                <c:pt idx="0">
                  <c:v>Varianta 1</c:v>
                </c:pt>
              </c:strCache>
            </c:strRef>
          </c:tx>
          <c:spPr>
            <a:ln w="15875" cap="rnd">
              <a:solidFill>
                <a:schemeClr val="accent2"/>
              </a:solidFill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Citlivostní_analýza!$A$55:$A$63</c:f>
              <c:numCache>
                <c:formatCode>0%</c:formatCode>
                <c:ptCount val="9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</c:numCache>
            </c:numRef>
          </c:cat>
          <c:val>
            <c:numRef>
              <c:f>Citlivostní_analýza!$C$55:$C$63</c:f>
              <c:numCache>
                <c:formatCode>#,##0</c:formatCode>
                <c:ptCount val="9"/>
                <c:pt idx="0">
                  <c:v>3326.981162799122</c:v>
                </c:pt>
                <c:pt idx="1">
                  <c:v>3291.633812799122</c:v>
                </c:pt>
                <c:pt idx="2">
                  <c:v>3256.286462799123</c:v>
                </c:pt>
                <c:pt idx="3">
                  <c:v>3220.939112799122</c:v>
                </c:pt>
                <c:pt idx="4">
                  <c:v>3185.591762799123</c:v>
                </c:pt>
                <c:pt idx="5">
                  <c:v>3150.244412799122</c:v>
                </c:pt>
                <c:pt idx="6">
                  <c:v>3114.897062799122</c:v>
                </c:pt>
                <c:pt idx="7">
                  <c:v>3079.549712799123</c:v>
                </c:pt>
                <c:pt idx="8">
                  <c:v>3044.202362799123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Citlivostní_analýza!$D$54</c:f>
              <c:strCache>
                <c:ptCount val="1"/>
                <c:pt idx="0">
                  <c:v>Varianta 2</c:v>
                </c:pt>
              </c:strCache>
            </c:strRef>
          </c:tx>
          <c:spPr>
            <a:ln w="15875" cap="rnd">
              <a:solidFill>
                <a:schemeClr val="accent6"/>
              </a:solidFill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Citlivostní_analýza!$A$55:$A$63</c:f>
              <c:numCache>
                <c:formatCode>0%</c:formatCode>
                <c:ptCount val="9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</c:numCache>
            </c:numRef>
          </c:cat>
          <c:val>
            <c:numRef>
              <c:f>Citlivostní_analýza!$D$55:$D$63</c:f>
              <c:numCache>
                <c:formatCode>#,##0</c:formatCode>
                <c:ptCount val="9"/>
                <c:pt idx="0">
                  <c:v>3288.031096695433</c:v>
                </c:pt>
                <c:pt idx="1">
                  <c:v>3266.702946695433</c:v>
                </c:pt>
                <c:pt idx="2">
                  <c:v>3245.374796695433</c:v>
                </c:pt>
                <c:pt idx="3">
                  <c:v>3224.046646695433</c:v>
                </c:pt>
                <c:pt idx="4">
                  <c:v>3202.718496695433</c:v>
                </c:pt>
                <c:pt idx="5">
                  <c:v>3181.390346695433</c:v>
                </c:pt>
                <c:pt idx="6">
                  <c:v>3160.062196695433</c:v>
                </c:pt>
                <c:pt idx="7">
                  <c:v>3138.734046695433</c:v>
                </c:pt>
                <c:pt idx="8">
                  <c:v>3117.405896695433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4813360"/>
        <c:axId val="-2042391136"/>
      </c:lineChart>
      <c:catAx>
        <c:axId val="-2094813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Dotace,</a:t>
                </a:r>
                <a:r>
                  <a:rPr lang="en-US" baseline="0"/>
                  <a:t> % z investice [%]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42391136"/>
        <c:crosses val="autoZero"/>
        <c:auto val="1"/>
        <c:lblAlgn val="ctr"/>
        <c:lblOffset val="100"/>
        <c:noMultiLvlLbl val="0"/>
      </c:catAx>
      <c:valAx>
        <c:axId val="-204239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NPV [tis.Kč]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94813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Relationship Id="rId2" Type="http://schemas.openxmlformats.org/officeDocument/2006/relationships/chart" Target="../charts/chart4.xml"/><Relationship Id="rId3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Relationship Id="rId2" Type="http://schemas.openxmlformats.org/officeDocument/2006/relationships/chart" Target="../charts/chart7.xml"/><Relationship Id="rId3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88900</xdr:colOff>
      <xdr:row>5</xdr:row>
      <xdr:rowOff>50800</xdr:rowOff>
    </xdr:from>
    <xdr:to>
      <xdr:col>7</xdr:col>
      <xdr:colOff>977900</xdr:colOff>
      <xdr:row>11</xdr:row>
      <xdr:rowOff>38100</xdr:rowOff>
    </xdr:to>
    <xdr:sp macro="" textlink="">
      <xdr:nvSpPr>
        <xdr:cNvPr id="9" name="TextBox 8"/>
        <xdr:cNvSpPr txBox="1"/>
      </xdr:nvSpPr>
      <xdr:spPr>
        <a:xfrm>
          <a:off x="8343900" y="1143000"/>
          <a:ext cx="2476500" cy="120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Tabulka</a:t>
          </a:r>
          <a:r>
            <a:rPr lang="en-US" sz="1100" baseline="0"/>
            <a:t> vlevo vychází ze znalosti cen, spotřeby tepla a spotřeby TV. </a:t>
          </a:r>
          <a:r>
            <a:rPr lang="en-US" sz="1100" baseline="0">
              <a:solidFill>
                <a:schemeClr val="tx1"/>
              </a:solidFill>
            </a:rPr>
            <a:t>Referenční tabulka, která má za předpoklad nulový meziroční nárůst cen.  V tabulce také spočítány ceny za 1 kWh.-</a:t>
          </a:r>
        </a:p>
        <a:p>
          <a:endParaRPr lang="en-US" sz="1100" baseline="0">
            <a:solidFill>
              <a:schemeClr val="tx1"/>
            </a:solidFill>
          </a:endParaRPr>
        </a:p>
        <a:p>
          <a:endParaRPr lang="en-US" sz="1100" baseline="0">
            <a:solidFill>
              <a:schemeClr val="tx1"/>
            </a:solidFill>
          </a:endParaRPr>
        </a:p>
        <a:p>
          <a:endParaRPr lang="en-US" sz="1100">
            <a:solidFill>
              <a:schemeClr val="bg2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927100</xdr:colOff>
      <xdr:row>30</xdr:row>
      <xdr:rowOff>63500</xdr:rowOff>
    </xdr:from>
    <xdr:to>
      <xdr:col>6</xdr:col>
      <xdr:colOff>1181100</xdr:colOff>
      <xdr:row>38</xdr:row>
      <xdr:rowOff>63500</xdr:rowOff>
    </xdr:to>
    <xdr:sp macro="" textlink="">
      <xdr:nvSpPr>
        <xdr:cNvPr id="10" name="TextBox 9"/>
        <xdr:cNvSpPr txBox="1"/>
      </xdr:nvSpPr>
      <xdr:spPr>
        <a:xfrm>
          <a:off x="6438900" y="6223000"/>
          <a:ext cx="2438400" cy="162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Rozpočítání spotřeby na den - celková spotřeba / počet dní,</a:t>
          </a:r>
          <a:r>
            <a:rPr lang="en-US" sz="1100" baseline="0"/>
            <a:t> dále přepočty na MWh/den a kWh/den. Odtud spočítána zaplacená částka za den (kolik stojí 1 den referenční spotřeby) v roce 0 (0% navýšení) a v roce 1 (4% navýšení). Dále spočítány ceny za 1 kWh od teplárny v těchto letech.</a:t>
          </a:r>
          <a:endParaRPr lang="en-US" sz="1100"/>
        </a:p>
      </xdr:txBody>
    </xdr:sp>
    <xdr:clientData/>
  </xdr:twoCellAnchor>
  <xdr:twoCellAnchor>
    <xdr:from>
      <xdr:col>14</xdr:col>
      <xdr:colOff>215900</xdr:colOff>
      <xdr:row>8</xdr:row>
      <xdr:rowOff>76200</xdr:rowOff>
    </xdr:from>
    <xdr:to>
      <xdr:col>16</xdr:col>
      <xdr:colOff>50800</xdr:colOff>
      <xdr:row>14</xdr:row>
      <xdr:rowOff>127000</xdr:rowOff>
    </xdr:to>
    <xdr:sp macro="" textlink="">
      <xdr:nvSpPr>
        <xdr:cNvPr id="11" name="TextBox 10"/>
        <xdr:cNvSpPr txBox="1"/>
      </xdr:nvSpPr>
      <xdr:spPr>
        <a:xfrm>
          <a:off x="19939000" y="1778000"/>
          <a:ext cx="2501900" cy="1270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Tabulka předpokládá nárůst cen o 0,XX.</a:t>
          </a:r>
          <a:r>
            <a:rPr lang="en-US" sz="1100" baseline="0"/>
            <a:t> Změna fialové hodnoty -&gt; přepočítání dalších sloupců v tabulce. Tato tabulka je stejná jako tabulka v levé části listu, jen se zmíněným předpokladem růstu cen.</a:t>
          </a:r>
          <a:endParaRPr lang="en-US" sz="1100"/>
        </a:p>
      </xdr:txBody>
    </xdr:sp>
    <xdr:clientData/>
  </xdr:twoCellAnchor>
  <xdr:twoCellAnchor>
    <xdr:from>
      <xdr:col>0</xdr:col>
      <xdr:colOff>38100</xdr:colOff>
      <xdr:row>0</xdr:row>
      <xdr:rowOff>88900</xdr:rowOff>
    </xdr:from>
    <xdr:to>
      <xdr:col>1</xdr:col>
      <xdr:colOff>0</xdr:colOff>
      <xdr:row>2</xdr:row>
      <xdr:rowOff>190500</xdr:rowOff>
    </xdr:to>
    <xdr:sp macro="" textlink="">
      <xdr:nvSpPr>
        <xdr:cNvPr id="12" name="TextBox 11"/>
        <xdr:cNvSpPr txBox="1"/>
      </xdr:nvSpPr>
      <xdr:spPr>
        <a:xfrm>
          <a:off x="38100" y="88900"/>
          <a:ext cx="787400" cy="50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Refereční hodnoty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2095500</xdr:colOff>
      <xdr:row>18</xdr:row>
      <xdr:rowOff>111125</xdr:rowOff>
    </xdr:from>
    <xdr:to>
      <xdr:col>19</xdr:col>
      <xdr:colOff>384175</xdr:colOff>
      <xdr:row>26</xdr:row>
      <xdr:rowOff>215900</xdr:rowOff>
    </xdr:to>
    <xdr:sp macro="" textlink="">
      <xdr:nvSpPr>
        <xdr:cNvPr id="3" name="TextBox 2"/>
        <xdr:cNvSpPr txBox="1"/>
      </xdr:nvSpPr>
      <xdr:spPr>
        <a:xfrm>
          <a:off x="28559125" y="3984625"/>
          <a:ext cx="4718050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Tabulka nahoře vychází z hodnot z PVGISu pro jednotlivé měsíce. Hodnotu</a:t>
          </a:r>
          <a:r>
            <a:rPr lang="en-US" sz="1100" baseline="0"/>
            <a:t> původní spotřeby jsem odečetl od hodnoty předpokládané denní výroby systému FVE 20 kWp. To znamená, jedná se o spotřebu mínus vyrobená E z FVE. Dále jsou hodnoty přepočítány na jednotlivé měsíce a dále na GJ/den a GJ/měsíc. Odtud jsou spočítány částky za den a za měsíc. Odtud jsem spočítal rozdíl těchto hodnot, což je úspora ve smyslu spotřeby a placení za energie. </a:t>
          </a:r>
          <a:r>
            <a:rPr lang="en-US" sz="1100" baseline="0">
              <a:solidFill>
                <a:schemeClr val="accent2">
                  <a:lumMod val="75000"/>
                </a:schemeClr>
              </a:solidFill>
            </a:rPr>
            <a:t> </a:t>
          </a:r>
          <a:r>
            <a:rPr lang="en-US" sz="1100" baseline="0">
              <a:solidFill>
                <a:schemeClr val="tx1"/>
              </a:solidFill>
            </a:rPr>
            <a:t>Hodnoty počítány pro 1. rok (tj. 1. rok s instalovým systémem, tzn 4% navýšení cen tepla oproti roku 0).</a:t>
          </a:r>
          <a:endParaRPr lang="en-US" sz="11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18</xdr:col>
      <xdr:colOff>1752600</xdr:colOff>
      <xdr:row>35</xdr:row>
      <xdr:rowOff>59265</xdr:rowOff>
    </xdr:from>
    <xdr:to>
      <xdr:col>19</xdr:col>
      <xdr:colOff>1515534</xdr:colOff>
      <xdr:row>41</xdr:row>
      <xdr:rowOff>15874</xdr:rowOff>
    </xdr:to>
    <xdr:sp macro="" textlink="">
      <xdr:nvSpPr>
        <xdr:cNvPr id="4" name="TextBox 3"/>
        <xdr:cNvSpPr txBox="1"/>
      </xdr:nvSpPr>
      <xdr:spPr>
        <a:xfrm>
          <a:off x="32311975" y="7584015"/>
          <a:ext cx="2096559" cy="11948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Refereční tabulka</a:t>
          </a:r>
          <a:r>
            <a:rPr lang="en-US" sz="1100" baseline="0"/>
            <a:t> měsíční spotřeby v kWh a částek zaplacených za den a měsíc v letech 0 a 1. Hodnoty z tabulky jsou využité ve výpočtech rozpočítání pro rok 1.</a:t>
          </a:r>
        </a:p>
        <a:p>
          <a:endParaRPr lang="en-US" sz="1100"/>
        </a:p>
      </xdr:txBody>
    </xdr:sp>
    <xdr:clientData/>
  </xdr:twoCellAnchor>
  <xdr:twoCellAnchor>
    <xdr:from>
      <xdr:col>2</xdr:col>
      <xdr:colOff>787400</xdr:colOff>
      <xdr:row>48</xdr:row>
      <xdr:rowOff>190500</xdr:rowOff>
    </xdr:from>
    <xdr:to>
      <xdr:col>5</xdr:col>
      <xdr:colOff>952500</xdr:colOff>
      <xdr:row>52</xdr:row>
      <xdr:rowOff>101600</xdr:rowOff>
    </xdr:to>
    <xdr:sp macro="" textlink="">
      <xdr:nvSpPr>
        <xdr:cNvPr id="5" name="TextBox 4"/>
        <xdr:cNvSpPr txBox="1"/>
      </xdr:nvSpPr>
      <xdr:spPr>
        <a:xfrm>
          <a:off x="2514600" y="6527800"/>
          <a:ext cx="547370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V</a:t>
          </a:r>
          <a:r>
            <a:rPr lang="en-US" sz="1100" baseline="0"/>
            <a:t> této tabulce počítám úsporu, kterou je FVE systém schopen vytvořit, za předpokladu 4% meziročního nárůstu cen, konstantní roční výroby (hodnota z PVGIS) a konstantní roční spotřeby tepla na ohřev.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101600</xdr:colOff>
      <xdr:row>48</xdr:row>
      <xdr:rowOff>177800</xdr:rowOff>
    </xdr:from>
    <xdr:to>
      <xdr:col>9</xdr:col>
      <xdr:colOff>698500</xdr:colOff>
      <xdr:row>71</xdr:row>
      <xdr:rowOff>101600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1079500</xdr:colOff>
      <xdr:row>55</xdr:row>
      <xdr:rowOff>177800</xdr:rowOff>
    </xdr:from>
    <xdr:to>
      <xdr:col>11</xdr:col>
      <xdr:colOff>38100</xdr:colOff>
      <xdr:row>57</xdr:row>
      <xdr:rowOff>190500</xdr:rowOff>
    </xdr:to>
    <xdr:sp macro="" textlink="">
      <xdr:nvSpPr>
        <xdr:cNvPr id="7" name="TextBox 6"/>
        <xdr:cNvSpPr txBox="1"/>
      </xdr:nvSpPr>
      <xdr:spPr>
        <a:xfrm>
          <a:off x="15049500" y="7886700"/>
          <a:ext cx="168910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Udělat jiný graf?</a:t>
          </a:r>
          <a:r>
            <a:rPr lang="en-US" sz="1100" baseline="0"/>
            <a:t> - Line?</a:t>
          </a:r>
        </a:p>
        <a:p>
          <a:endParaRPr lang="en-US" sz="1100"/>
        </a:p>
      </xdr:txBody>
    </xdr:sp>
    <xdr:clientData/>
  </xdr:twoCellAnchor>
  <xdr:twoCellAnchor>
    <xdr:from>
      <xdr:col>24</xdr:col>
      <xdr:colOff>50800</xdr:colOff>
      <xdr:row>7</xdr:row>
      <xdr:rowOff>101600</xdr:rowOff>
    </xdr:from>
    <xdr:to>
      <xdr:col>27</xdr:col>
      <xdr:colOff>301625</xdr:colOff>
      <xdr:row>10</xdr:row>
      <xdr:rowOff>95250</xdr:rowOff>
    </xdr:to>
    <xdr:sp macro="" textlink="">
      <xdr:nvSpPr>
        <xdr:cNvPr id="8" name="TextBox 7"/>
        <xdr:cNvSpPr txBox="1"/>
      </xdr:nvSpPr>
      <xdr:spPr>
        <a:xfrm>
          <a:off x="41770300" y="1673225"/>
          <a:ext cx="2774950" cy="612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Je patrné, že v letních měsících, kdy FV systém pracuje nejvíce je úspora nejvyšší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457200</xdr:colOff>
      <xdr:row>20</xdr:row>
      <xdr:rowOff>50800</xdr:rowOff>
    </xdr:from>
    <xdr:to>
      <xdr:col>18</xdr:col>
      <xdr:colOff>101600</xdr:colOff>
      <xdr:row>27</xdr:row>
      <xdr:rowOff>0</xdr:rowOff>
    </xdr:to>
    <xdr:sp macro="" textlink="">
      <xdr:nvSpPr>
        <xdr:cNvPr id="2" name="TextBox 1"/>
        <xdr:cNvSpPr txBox="1"/>
      </xdr:nvSpPr>
      <xdr:spPr>
        <a:xfrm>
          <a:off x="22720300" y="4102100"/>
          <a:ext cx="5499100" cy="137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Tabulka</a:t>
          </a:r>
          <a:r>
            <a:rPr lang="en-US" sz="1100" baseline="0"/>
            <a:t> nahoře </a:t>
          </a:r>
          <a:r>
            <a:rPr lang="en-US" sz="1100"/>
            <a:t>vychází z hodnot z PVGISu pro jednotlivé měsíce. Hodnotu</a:t>
          </a:r>
          <a:r>
            <a:rPr lang="en-US" sz="1100" baseline="0"/>
            <a:t> původní spotřeby jsem odečetl od hodnoty předpokládané denní výroby systému FVE 10 kWp. To znamená, jedná se o spotřebu mínus vyrobená energie+ z FVE. Dále jsou hodnoty přepočítány na jednotlivé měsíce a dále na GJ/den a GJ/měsíc. Odtud jsou spočítány částky za den a za měsíc. Odtud jsem spočítal rozdíl těchto hodnot, což je úspora ve smyslu spotřeby a placení za energie.</a:t>
          </a:r>
          <a:r>
            <a:rPr lang="en-US" sz="1100" baseline="0">
              <a:solidFill>
                <a:schemeClr val="accent2">
                  <a:lumMod val="75000"/>
                </a:schemeClr>
              </a:solidFill>
            </a:rPr>
            <a:t> </a:t>
          </a:r>
          <a:r>
            <a:rPr lang="en-US" sz="1100" baseline="0">
              <a:solidFill>
                <a:schemeClr val="tx1"/>
              </a:solidFill>
            </a:rPr>
            <a:t>Hodnoty počítány pro 1. rok (tj. 1. rok s instalovým systémem, tzn 4% navýšení cen tepla oproti roku 0).</a:t>
          </a:r>
          <a:endParaRPr lang="en-US" sz="11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2</xdr:col>
      <xdr:colOff>711200</xdr:colOff>
      <xdr:row>50</xdr:row>
      <xdr:rowOff>50800</xdr:rowOff>
    </xdr:from>
    <xdr:to>
      <xdr:col>5</xdr:col>
      <xdr:colOff>1549400</xdr:colOff>
      <xdr:row>53</xdr:row>
      <xdr:rowOff>50800</xdr:rowOff>
    </xdr:to>
    <xdr:sp macro="" textlink="">
      <xdr:nvSpPr>
        <xdr:cNvPr id="4" name="TextBox 3"/>
        <xdr:cNvSpPr txBox="1"/>
      </xdr:nvSpPr>
      <xdr:spPr>
        <a:xfrm>
          <a:off x="2387600" y="6502400"/>
          <a:ext cx="562610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V</a:t>
          </a:r>
          <a:r>
            <a:rPr lang="en-US" sz="1100" baseline="0"/>
            <a:t> této tabulce počítám úsporu, kterou je FVE systém schopen vytvořit, za předpokladu 4% meziročního nárůstu cen, konstantní roční výroby (hodnota z PVGIS) a konstantní roční spotřeby tepla na ohřev.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533400</xdr:colOff>
      <xdr:row>50</xdr:row>
      <xdr:rowOff>38100</xdr:rowOff>
    </xdr:from>
    <xdr:to>
      <xdr:col>9</xdr:col>
      <xdr:colOff>1130300</xdr:colOff>
      <xdr:row>71</xdr:row>
      <xdr:rowOff>165100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50800</xdr:colOff>
      <xdr:row>7</xdr:row>
      <xdr:rowOff>0</xdr:rowOff>
    </xdr:from>
    <xdr:to>
      <xdr:col>27</xdr:col>
      <xdr:colOff>215900</xdr:colOff>
      <xdr:row>8</xdr:row>
      <xdr:rowOff>190500</xdr:rowOff>
    </xdr:to>
    <xdr:sp macro="" textlink="">
      <xdr:nvSpPr>
        <xdr:cNvPr id="6" name="TextBox 5"/>
        <xdr:cNvSpPr txBox="1"/>
      </xdr:nvSpPr>
      <xdr:spPr>
        <a:xfrm>
          <a:off x="39344600" y="1511300"/>
          <a:ext cx="2679700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Je patrné, že v letních měsících, kdy FV systém pracuje nejvíce je úspora nejvyšší</a:t>
          </a:r>
        </a:p>
      </xdr:txBody>
    </xdr:sp>
    <xdr:clientData/>
  </xdr:twoCellAnchor>
  <xdr:twoCellAnchor>
    <xdr:from>
      <xdr:col>19</xdr:col>
      <xdr:colOff>206375</xdr:colOff>
      <xdr:row>34</xdr:row>
      <xdr:rowOff>174625</xdr:rowOff>
    </xdr:from>
    <xdr:to>
      <xdr:col>20</xdr:col>
      <xdr:colOff>746125</xdr:colOff>
      <xdr:row>40</xdr:row>
      <xdr:rowOff>0</xdr:rowOff>
    </xdr:to>
    <xdr:sp macro="" textlink="">
      <xdr:nvSpPr>
        <xdr:cNvPr id="7" name="TextBox 6"/>
        <xdr:cNvSpPr txBox="1"/>
      </xdr:nvSpPr>
      <xdr:spPr>
        <a:xfrm>
          <a:off x="30527625" y="7397750"/>
          <a:ext cx="2254250" cy="1063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Refereční tabulka</a:t>
          </a:r>
          <a:r>
            <a:rPr lang="en-US" sz="1100" baseline="0"/>
            <a:t> měsíční spotřeby v kWh a částek zaplacených za den a měsíc v letech 0 a 1. Hodnoty z tabulky jsou využité ve výpočtech rozpočítání pro rok 1.</a:t>
          </a:r>
        </a:p>
        <a:p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1041400</xdr:colOff>
      <xdr:row>31</xdr:row>
      <xdr:rowOff>76200</xdr:rowOff>
    </xdr:from>
    <xdr:to>
      <xdr:col>7</xdr:col>
      <xdr:colOff>1130300</xdr:colOff>
      <xdr:row>33</xdr:row>
      <xdr:rowOff>139700</xdr:rowOff>
    </xdr:to>
    <xdr:sp macro="" textlink="">
      <xdr:nvSpPr>
        <xdr:cNvPr id="5" name="TextBox 4"/>
        <xdr:cNvSpPr txBox="1"/>
      </xdr:nvSpPr>
      <xdr:spPr>
        <a:xfrm>
          <a:off x="7099300" y="6502400"/>
          <a:ext cx="304800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Porovnávání výdajů</a:t>
          </a:r>
          <a:r>
            <a:rPr lang="en-US" sz="1100" baseline="0"/>
            <a:t> </a:t>
          </a:r>
          <a:r>
            <a:rPr lang="en-US" sz="1100"/>
            <a:t>=&gt; bere se </a:t>
          </a:r>
          <a:r>
            <a:rPr lang="en-US" sz="1100" b="1"/>
            <a:t>menší</a:t>
          </a:r>
          <a:r>
            <a:rPr lang="en-US" sz="1100"/>
            <a:t> hodnota NPV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139700</xdr:colOff>
      <xdr:row>9</xdr:row>
      <xdr:rowOff>12700</xdr:rowOff>
    </xdr:from>
    <xdr:to>
      <xdr:col>9</xdr:col>
      <xdr:colOff>228600</xdr:colOff>
      <xdr:row>12</xdr:row>
      <xdr:rowOff>12700</xdr:rowOff>
    </xdr:to>
    <xdr:sp macro="" textlink="">
      <xdr:nvSpPr>
        <xdr:cNvPr id="2" name="TextBox 1"/>
        <xdr:cNvSpPr txBox="1"/>
      </xdr:nvSpPr>
      <xdr:spPr>
        <a:xfrm>
          <a:off x="9791700" y="1866900"/>
          <a:ext cx="260350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V letních</a:t>
          </a:r>
          <a:r>
            <a:rPr lang="en-US" sz="1100" baseline="0"/>
            <a:t> měsících se předpokládá 20% snížení spotřeby - zdroj viz Vavřička dokument (Quantum)</a:t>
          </a:r>
          <a:endParaRPr lang="en-US" sz="1100"/>
        </a:p>
      </xdr:txBody>
    </xdr:sp>
    <xdr:clientData/>
  </xdr:twoCellAnchor>
  <xdr:twoCellAnchor>
    <xdr:from>
      <xdr:col>0</xdr:col>
      <xdr:colOff>1917700</xdr:colOff>
      <xdr:row>18</xdr:row>
      <xdr:rowOff>127000</xdr:rowOff>
    </xdr:from>
    <xdr:to>
      <xdr:col>5</xdr:col>
      <xdr:colOff>749300</xdr:colOff>
      <xdr:row>38</xdr:row>
      <xdr:rowOff>31750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800100</xdr:colOff>
      <xdr:row>20</xdr:row>
      <xdr:rowOff>133350</xdr:rowOff>
    </xdr:from>
    <xdr:to>
      <xdr:col>12</xdr:col>
      <xdr:colOff>50800</xdr:colOff>
      <xdr:row>38</xdr:row>
      <xdr:rowOff>12700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152400</xdr:colOff>
      <xdr:row>18</xdr:row>
      <xdr:rowOff>139700</xdr:rowOff>
    </xdr:from>
    <xdr:to>
      <xdr:col>18</xdr:col>
      <xdr:colOff>546100</xdr:colOff>
      <xdr:row>38</xdr:row>
      <xdr:rowOff>44450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1</xdr:row>
      <xdr:rowOff>0</xdr:rowOff>
    </xdr:from>
    <xdr:to>
      <xdr:col>11</xdr:col>
      <xdr:colOff>673100</xdr:colOff>
      <xdr:row>19</xdr:row>
      <xdr:rowOff>76200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476250</xdr:colOff>
      <xdr:row>23</xdr:row>
      <xdr:rowOff>196850</xdr:rowOff>
    </xdr:from>
    <xdr:to>
      <xdr:col>11</xdr:col>
      <xdr:colOff>457750</xdr:colOff>
      <xdr:row>42</xdr:row>
      <xdr:rowOff>130450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12700</xdr:colOff>
      <xdr:row>3</xdr:row>
      <xdr:rowOff>114300</xdr:rowOff>
    </xdr:from>
    <xdr:to>
      <xdr:col>15</xdr:col>
      <xdr:colOff>546100</xdr:colOff>
      <xdr:row>9</xdr:row>
      <xdr:rowOff>76200</xdr:rowOff>
    </xdr:to>
    <xdr:sp macro="" textlink="">
      <xdr:nvSpPr>
        <xdr:cNvPr id="5" name="TextBox 4"/>
        <xdr:cNvSpPr txBox="1"/>
      </xdr:nvSpPr>
      <xdr:spPr>
        <a:xfrm>
          <a:off x="9918700" y="723900"/>
          <a:ext cx="300990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Jelikož se jedná o optimalizaci</a:t>
          </a:r>
          <a:r>
            <a:rPr lang="en-US" sz="1100" baseline="0"/>
            <a:t> nákladů, tak je lepší </a:t>
          </a:r>
          <a:r>
            <a:rPr lang="en-US" sz="1100" b="1" baseline="0"/>
            <a:t>menší</a:t>
          </a:r>
          <a:r>
            <a:rPr lang="en-US" sz="1100" baseline="0"/>
            <a:t> hodnota NPV. </a:t>
          </a:r>
          <a:r>
            <a:rPr lang="en-US" sz="1100"/>
            <a:t>Z této citlivostní analýzy lze vidět, že</a:t>
          </a:r>
          <a:r>
            <a:rPr lang="en-US" sz="1100" baseline="0"/>
            <a:t> při růstu cen větším než cca 6% ročně, se do jednoho z projektů vyplatí investovat. S tím, že Varianta 1 je lepší než Varianta 2.</a:t>
          </a:r>
          <a:endParaRPr lang="en-US" sz="1100"/>
        </a:p>
      </xdr:txBody>
    </xdr:sp>
    <xdr:clientData/>
  </xdr:twoCellAnchor>
  <xdr:twoCellAnchor>
    <xdr:from>
      <xdr:col>11</xdr:col>
      <xdr:colOff>596900</xdr:colOff>
      <xdr:row>25</xdr:row>
      <xdr:rowOff>88900</xdr:rowOff>
    </xdr:from>
    <xdr:to>
      <xdr:col>15</xdr:col>
      <xdr:colOff>317500</xdr:colOff>
      <xdr:row>31</xdr:row>
      <xdr:rowOff>50800</xdr:rowOff>
    </xdr:to>
    <xdr:sp macro="" textlink="">
      <xdr:nvSpPr>
        <xdr:cNvPr id="6" name="TextBox 5"/>
        <xdr:cNvSpPr txBox="1"/>
      </xdr:nvSpPr>
      <xdr:spPr>
        <a:xfrm>
          <a:off x="9677400" y="5168900"/>
          <a:ext cx="302260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Při diskontní</a:t>
          </a:r>
          <a:r>
            <a:rPr lang="en-US" sz="1100" baseline="0"/>
            <a:t> míře větší než 1 % se do projektů nevyplatí investovat. Opět se jedná o optimalizaci nákladů, tudíž se uvažuje </a:t>
          </a:r>
          <a:r>
            <a:rPr lang="en-US" sz="1100" b="1" baseline="0"/>
            <a:t>menší</a:t>
          </a:r>
          <a:r>
            <a:rPr lang="en-US" sz="1100" baseline="0"/>
            <a:t> hodnota NPV jako lepší.</a:t>
          </a:r>
          <a:endParaRPr lang="en-US" sz="1100"/>
        </a:p>
      </xdr:txBody>
    </xdr:sp>
    <xdr:clientData/>
  </xdr:twoCellAnchor>
  <xdr:twoCellAnchor>
    <xdr:from>
      <xdr:col>4</xdr:col>
      <xdr:colOff>660400</xdr:colOff>
      <xdr:row>48</xdr:row>
      <xdr:rowOff>76200</xdr:rowOff>
    </xdr:from>
    <xdr:to>
      <xdr:col>11</xdr:col>
      <xdr:colOff>647700</xdr:colOff>
      <xdr:row>68</xdr:row>
      <xdr:rowOff>127000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0.45705</cdr:x>
      <cdr:y>0.1155</cdr:y>
    </cdr:from>
    <cdr:to>
      <cdr:x>0.45948</cdr:x>
      <cdr:y>0.82157</cdr:y>
    </cdr:to>
    <cdr:cxnSp macro="">
      <cdr:nvCxnSpPr>
        <cdr:cNvPr id="3" name="Straight Connector 2"/>
        <cdr:cNvCxnSpPr/>
      </cdr:nvCxnSpPr>
      <cdr:spPr>
        <a:xfrm xmlns:a="http://schemas.openxmlformats.org/drawingml/2006/main" flipH="1">
          <a:off x="2942884" y="431259"/>
          <a:ext cx="15646" cy="2636324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2"/>
          </a:solidFill>
          <a:prstDash val="sys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0.57739</cdr:x>
      <cdr:y>0.1348</cdr:y>
    </cdr:from>
    <cdr:to>
      <cdr:x>0.57966</cdr:x>
      <cdr:y>0.7754</cdr:y>
    </cdr:to>
    <cdr:cxnSp macro="">
      <cdr:nvCxnSpPr>
        <cdr:cNvPr id="3" name="Straight Connector 2"/>
        <cdr:cNvCxnSpPr/>
      </cdr:nvCxnSpPr>
      <cdr:spPr>
        <a:xfrm xmlns:a="http://schemas.openxmlformats.org/drawingml/2006/main" flipH="1">
          <a:off x="3325740" y="511474"/>
          <a:ext cx="13075" cy="2430693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2"/>
          </a:solidFill>
          <a:prstDash val="sys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0.17659</cdr:x>
      <cdr:y>0.12654</cdr:y>
    </cdr:from>
    <cdr:to>
      <cdr:x>0.17659</cdr:x>
      <cdr:y>0.77778</cdr:y>
    </cdr:to>
    <cdr:cxnSp macro="">
      <cdr:nvCxnSpPr>
        <cdr:cNvPr id="2" name="Straight Connector 1"/>
        <cdr:cNvCxnSpPr/>
      </cdr:nvCxnSpPr>
      <cdr:spPr>
        <a:xfrm xmlns:a="http://schemas.openxmlformats.org/drawingml/2006/main">
          <a:off x="1018210" y="520687"/>
          <a:ext cx="0" cy="2679722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2"/>
          </a:solidFill>
          <a:prstDash val="sys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obchodsolar.cz/logitex-LXDC-SET-1-4-kW" TargetMode="External"/><Relationship Id="rId4" Type="http://schemas.openxmlformats.org/officeDocument/2006/relationships/hyperlink" Target="https://www.obchodsolar.cz/LXDC-POWER-BOX" TargetMode="External"/><Relationship Id="rId5" Type="http://schemas.openxmlformats.org/officeDocument/2006/relationships/drawing" Target="../drawings/drawing2.xml"/><Relationship Id="rId6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1" Type="http://schemas.openxmlformats.org/officeDocument/2006/relationships/hyperlink" Target="http://www.sticka.cz/kategorie/fotovoltaicke-panely/polykrystalicke-panely/solarni-panel-hisunage-250wp-poly/" TargetMode="External"/><Relationship Id="rId2" Type="http://schemas.openxmlformats.org/officeDocument/2006/relationships/hyperlink" Target="http://www.dzd-fv.cz/cs/doporucene-prodejni-ceny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ticka.cz/kategorie/fotovoltaicke-panely/polykrystalicke-panely/solarni-panel-hisunage-250wp-poly/" TargetMode="External"/><Relationship Id="rId4" Type="http://schemas.openxmlformats.org/officeDocument/2006/relationships/hyperlink" Target="https://www.obchodsolar.cz/LXDC-POWER-BOX" TargetMode="External"/><Relationship Id="rId5" Type="http://schemas.openxmlformats.org/officeDocument/2006/relationships/drawing" Target="../drawings/drawing3.xml"/><Relationship Id="rId6" Type="http://schemas.openxmlformats.org/officeDocument/2006/relationships/vmlDrawing" Target="../drawings/vmlDrawing3.vml"/><Relationship Id="rId7" Type="http://schemas.openxmlformats.org/officeDocument/2006/relationships/comments" Target="../comments3.xml"/><Relationship Id="rId1" Type="http://schemas.openxmlformats.org/officeDocument/2006/relationships/hyperlink" Target="https://www.obchodsolar.cz/logitex-LXDC-SET-1-4-kW" TargetMode="External"/><Relationship Id="rId2" Type="http://schemas.openxmlformats.org/officeDocument/2006/relationships/hyperlink" Target="http://www.dzd-fv.cz/cs/doporucene-prodejni-ceny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4.vml"/><Relationship Id="rId3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0"/>
  <sheetViews>
    <sheetView zoomScale="80" zoomScaleNormal="80" zoomScalePageLayoutView="80" workbookViewId="0">
      <selection activeCell="T7" sqref="T7"/>
    </sheetView>
  </sheetViews>
  <sheetFormatPr baseColWidth="10" defaultColWidth="11" defaultRowHeight="16" x14ac:dyDescent="0.2"/>
  <cols>
    <col min="2" max="2" width="22.83203125" bestFit="1" customWidth="1"/>
    <col min="4" max="4" width="15" bestFit="1" customWidth="1"/>
    <col min="5" max="5" width="19.83203125" bestFit="1" customWidth="1"/>
    <col min="6" max="6" width="28.6640625" bestFit="1" customWidth="1"/>
    <col min="7" max="7" width="20.83203125" bestFit="1" customWidth="1"/>
    <col min="8" max="8" width="31" bestFit="1" customWidth="1"/>
    <col min="9" max="9" width="13.1640625" bestFit="1" customWidth="1"/>
    <col min="10" max="10" width="18.1640625" bestFit="1" customWidth="1"/>
    <col min="12" max="12" width="15.6640625" bestFit="1" customWidth="1"/>
    <col min="13" max="13" width="19.83203125" bestFit="1" customWidth="1"/>
    <col min="14" max="14" width="21.33203125" bestFit="1" customWidth="1"/>
    <col min="15" max="16" width="17.5" bestFit="1" customWidth="1"/>
    <col min="23" max="23" width="12.33203125" bestFit="1" customWidth="1"/>
  </cols>
  <sheetData>
    <row r="1" spans="1:23" x14ac:dyDescent="0.2">
      <c r="B1" s="1" t="s">
        <v>6</v>
      </c>
      <c r="C1">
        <v>535.4</v>
      </c>
      <c r="E1" s="14"/>
      <c r="F1" s="14"/>
      <c r="H1" s="9" t="s">
        <v>23</v>
      </c>
      <c r="I1" s="9">
        <f>C2</f>
        <v>263.62</v>
      </c>
      <c r="J1" s="1" t="s">
        <v>72</v>
      </c>
    </row>
    <row r="2" spans="1:23" x14ac:dyDescent="0.2">
      <c r="B2" s="1" t="s">
        <v>12</v>
      </c>
      <c r="C2" s="13">
        <f>(281+246.24)/2</f>
        <v>263.62</v>
      </c>
      <c r="E2" s="14"/>
      <c r="F2" s="14"/>
      <c r="H2" s="1" t="s">
        <v>24</v>
      </c>
      <c r="I2" s="1">
        <f>C2/C34</f>
        <v>0.72224657534246572</v>
      </c>
      <c r="J2" s="1" t="s">
        <v>9</v>
      </c>
    </row>
    <row r="3" spans="1:23" x14ac:dyDescent="0.2">
      <c r="B3" s="1" t="s">
        <v>13</v>
      </c>
      <c r="C3">
        <v>653</v>
      </c>
      <c r="E3" s="211" t="s">
        <v>4</v>
      </c>
    </row>
    <row r="4" spans="1:23" x14ac:dyDescent="0.2">
      <c r="E4" s="1">
        <f>C1*C2</f>
        <v>141142.14799999999</v>
      </c>
      <c r="F4" t="s">
        <v>5</v>
      </c>
      <c r="O4" s="1"/>
      <c r="P4" s="1" t="s">
        <v>2</v>
      </c>
      <c r="W4" t="s">
        <v>84</v>
      </c>
    </row>
    <row r="5" spans="1:23" ht="22" thickBot="1" x14ac:dyDescent="0.3">
      <c r="A5" s="240" t="s">
        <v>95</v>
      </c>
      <c r="B5" s="240"/>
      <c r="C5" s="240"/>
      <c r="D5" s="240"/>
      <c r="E5" s="240"/>
      <c r="F5" s="240"/>
      <c r="G5" s="240"/>
      <c r="I5" s="241" t="s">
        <v>3</v>
      </c>
      <c r="J5" s="241"/>
      <c r="K5" s="241"/>
      <c r="L5" s="241"/>
      <c r="M5" s="241"/>
      <c r="N5" s="241"/>
      <c r="O5">
        <f>1+P5</f>
        <v>1.04</v>
      </c>
      <c r="P5" s="13">
        <v>0.04</v>
      </c>
      <c r="W5" s="51">
        <f>T7/V7</f>
        <v>797.83328235908971</v>
      </c>
    </row>
    <row r="6" spans="1:23" x14ac:dyDescent="0.2">
      <c r="A6" s="32" t="s">
        <v>0</v>
      </c>
      <c r="B6" s="33" t="s">
        <v>104</v>
      </c>
      <c r="C6" s="33" t="s">
        <v>21</v>
      </c>
      <c r="D6" s="33" t="s">
        <v>20</v>
      </c>
      <c r="E6" s="33" t="s">
        <v>44</v>
      </c>
      <c r="F6" s="34" t="s">
        <v>106</v>
      </c>
      <c r="H6" s="4"/>
      <c r="I6" s="32" t="s">
        <v>0</v>
      </c>
      <c r="J6" s="33" t="s">
        <v>104</v>
      </c>
      <c r="K6" s="33" t="s">
        <v>21</v>
      </c>
      <c r="L6" s="33" t="s">
        <v>20</v>
      </c>
      <c r="M6" s="33" t="s">
        <v>44</v>
      </c>
      <c r="N6" s="34" t="s">
        <v>106</v>
      </c>
      <c r="O6" s="8"/>
      <c r="P6" s="8"/>
    </row>
    <row r="7" spans="1:23" x14ac:dyDescent="0.2">
      <c r="A7" s="35">
        <v>0</v>
      </c>
      <c r="B7" s="29">
        <f>C1</f>
        <v>535.4</v>
      </c>
      <c r="C7" s="31">
        <f t="shared" ref="C7:C13" si="0">$C$2*B7</f>
        <v>141142.14799999999</v>
      </c>
      <c r="D7" s="31">
        <f>E4</f>
        <v>141142.14799999999</v>
      </c>
      <c r="E7" s="30">
        <f t="shared" ref="E7:E27" si="1">$I$2*B7</f>
        <v>386.69081643835614</v>
      </c>
      <c r="F7" s="49">
        <f>E7/$E$36</f>
        <v>1.92744</v>
      </c>
      <c r="I7" s="35">
        <v>0</v>
      </c>
      <c r="J7" s="191">
        <f>B7</f>
        <v>535.4</v>
      </c>
      <c r="K7" s="31">
        <f>D7</f>
        <v>141142.14799999999</v>
      </c>
      <c r="L7" s="31">
        <f>K7</f>
        <v>141142.14799999999</v>
      </c>
      <c r="M7" s="30">
        <f>$I$2*J7</f>
        <v>386.69081643835614</v>
      </c>
      <c r="N7" s="49">
        <f>M7/$E$36</f>
        <v>1.92744</v>
      </c>
      <c r="O7" s="17"/>
      <c r="P7" s="17"/>
      <c r="T7" s="28">
        <f>NPV(0.03,K8:K27)*1</f>
        <v>3129102.0717504313</v>
      </c>
      <c r="U7">
        <f>C2</f>
        <v>263.62</v>
      </c>
      <c r="V7" s="2">
        <f>NPV(0.03,U7:U26)</f>
        <v>3921.9999227132789</v>
      </c>
    </row>
    <row r="8" spans="1:23" x14ac:dyDescent="0.2">
      <c r="A8" s="35">
        <v>1</v>
      </c>
      <c r="B8" s="29">
        <f>$B$7</f>
        <v>535.4</v>
      </c>
      <c r="C8" s="31">
        <f t="shared" si="0"/>
        <v>141142.14799999999</v>
      </c>
      <c r="D8" s="31">
        <f>(D7+$D$7)</f>
        <v>282284.29599999997</v>
      </c>
      <c r="E8" s="30">
        <f t="shared" si="1"/>
        <v>386.69081643835614</v>
      </c>
      <c r="F8" s="49">
        <f t="shared" ref="F8:F27" si="2">E8/$E$36</f>
        <v>1.92744</v>
      </c>
      <c r="I8" s="35">
        <v>1</v>
      </c>
      <c r="J8" s="191">
        <f>$J$7*$O$5^I8</f>
        <v>556.81600000000003</v>
      </c>
      <c r="K8" s="31">
        <f>J8*$C$2</f>
        <v>146787.83392</v>
      </c>
      <c r="L8" s="31">
        <f t="shared" ref="L8:L13" si="3">L7+K8</f>
        <v>287929.98191999999</v>
      </c>
      <c r="M8" s="30">
        <f t="shared" ref="M8:M27" si="4">$I$2*J8</f>
        <v>402.15844909589043</v>
      </c>
      <c r="N8" s="49">
        <f t="shared" ref="N8:N27" si="5">M8/$E$36</f>
        <v>2.0045376000000004</v>
      </c>
      <c r="O8" s="17"/>
      <c r="P8" s="17"/>
      <c r="U8">
        <f>U7</f>
        <v>263.62</v>
      </c>
    </row>
    <row r="9" spans="1:23" x14ac:dyDescent="0.2">
      <c r="A9" s="35">
        <v>2</v>
      </c>
      <c r="B9" s="29">
        <f t="shared" ref="B9:B27" si="6">$B$7</f>
        <v>535.4</v>
      </c>
      <c r="C9" s="31">
        <f t="shared" si="0"/>
        <v>141142.14799999999</v>
      </c>
      <c r="D9" s="31">
        <f t="shared" ref="D9:D17" si="7">D8+$D$7</f>
        <v>423426.44399999996</v>
      </c>
      <c r="E9" s="30">
        <f t="shared" si="1"/>
        <v>386.69081643835614</v>
      </c>
      <c r="F9" s="49">
        <f t="shared" si="2"/>
        <v>1.92744</v>
      </c>
      <c r="I9" s="35">
        <v>2</v>
      </c>
      <c r="J9" s="191">
        <f>$J$7*$O$5^I9</f>
        <v>579.08864000000005</v>
      </c>
      <c r="K9" s="31">
        <f t="shared" ref="K9:K26" si="8">J9*$C$2</f>
        <v>152659.34727680002</v>
      </c>
      <c r="L9" s="31">
        <f t="shared" si="3"/>
        <v>440589.32919680001</v>
      </c>
      <c r="M9" s="30">
        <f t="shared" si="4"/>
        <v>418.24478705972604</v>
      </c>
      <c r="N9" s="49">
        <f t="shared" si="5"/>
        <v>2.0847191040000004</v>
      </c>
      <c r="O9" s="17"/>
      <c r="P9" s="17"/>
      <c r="U9">
        <f t="shared" ref="U9:U26" si="9">U8</f>
        <v>263.62</v>
      </c>
    </row>
    <row r="10" spans="1:23" x14ac:dyDescent="0.2">
      <c r="A10" s="35">
        <v>3</v>
      </c>
      <c r="B10" s="29">
        <f t="shared" si="6"/>
        <v>535.4</v>
      </c>
      <c r="C10" s="31">
        <f t="shared" si="0"/>
        <v>141142.14799999999</v>
      </c>
      <c r="D10" s="31">
        <f t="shared" si="7"/>
        <v>564568.59199999995</v>
      </c>
      <c r="E10" s="30">
        <f t="shared" si="1"/>
        <v>386.69081643835614</v>
      </c>
      <c r="F10" s="49">
        <f t="shared" si="2"/>
        <v>1.92744</v>
      </c>
      <c r="I10" s="35">
        <v>3</v>
      </c>
      <c r="J10" s="191">
        <f>$J$7*$O$5^I10</f>
        <v>602.25218560000008</v>
      </c>
      <c r="K10" s="31">
        <f t="shared" si="8"/>
        <v>158765.72116787202</v>
      </c>
      <c r="L10" s="31">
        <f t="shared" si="3"/>
        <v>599355.05036467197</v>
      </c>
      <c r="M10" s="30">
        <f t="shared" si="4"/>
        <v>434.97457854211513</v>
      </c>
      <c r="N10" s="49">
        <f t="shared" si="5"/>
        <v>2.1681078681600003</v>
      </c>
      <c r="O10" s="17"/>
      <c r="P10" s="17"/>
      <c r="U10">
        <f t="shared" si="9"/>
        <v>263.62</v>
      </c>
    </row>
    <row r="11" spans="1:23" x14ac:dyDescent="0.2">
      <c r="A11" s="35">
        <v>4</v>
      </c>
      <c r="B11" s="29">
        <f t="shared" si="6"/>
        <v>535.4</v>
      </c>
      <c r="C11" s="31">
        <f t="shared" si="0"/>
        <v>141142.14799999999</v>
      </c>
      <c r="D11" s="31">
        <f t="shared" si="7"/>
        <v>705710.74</v>
      </c>
      <c r="E11" s="30">
        <f t="shared" si="1"/>
        <v>386.69081643835614</v>
      </c>
      <c r="F11" s="49">
        <f t="shared" si="2"/>
        <v>1.92744</v>
      </c>
      <c r="I11" s="35">
        <v>4</v>
      </c>
      <c r="J11" s="191">
        <f>$J$7*$O$5^I11</f>
        <v>626.34227302400006</v>
      </c>
      <c r="K11" s="31">
        <f t="shared" si="8"/>
        <v>165116.3500145869</v>
      </c>
      <c r="L11" s="31">
        <f t="shared" si="3"/>
        <v>764471.40037925891</v>
      </c>
      <c r="M11" s="30">
        <f t="shared" si="4"/>
        <v>452.37356168379972</v>
      </c>
      <c r="N11" s="49">
        <f t="shared" si="5"/>
        <v>2.2548321828864002</v>
      </c>
      <c r="O11" s="17"/>
      <c r="P11" s="17"/>
      <c r="U11">
        <f t="shared" si="9"/>
        <v>263.62</v>
      </c>
    </row>
    <row r="12" spans="1:23" x14ac:dyDescent="0.2">
      <c r="A12" s="35">
        <v>5</v>
      </c>
      <c r="B12" s="29">
        <f t="shared" si="6"/>
        <v>535.4</v>
      </c>
      <c r="C12" s="31">
        <f t="shared" si="0"/>
        <v>141142.14799999999</v>
      </c>
      <c r="D12" s="31">
        <f t="shared" si="7"/>
        <v>846852.88800000004</v>
      </c>
      <c r="E12" s="30">
        <f t="shared" si="1"/>
        <v>386.69081643835614</v>
      </c>
      <c r="F12" s="49">
        <f t="shared" si="2"/>
        <v>1.92744</v>
      </c>
      <c r="I12" s="35">
        <v>5</v>
      </c>
      <c r="J12" s="191">
        <f>$J$7*$O$5^I12</f>
        <v>651.39596394496016</v>
      </c>
      <c r="K12" s="31">
        <f t="shared" si="8"/>
        <v>171721.00401517039</v>
      </c>
      <c r="L12" s="31">
        <f t="shared" si="3"/>
        <v>936192.40439442929</v>
      </c>
      <c r="M12" s="30">
        <f t="shared" si="4"/>
        <v>470.46850415115176</v>
      </c>
      <c r="N12" s="49">
        <f t="shared" si="5"/>
        <v>2.3450254702018567</v>
      </c>
      <c r="O12" s="17"/>
      <c r="P12" s="17"/>
      <c r="U12">
        <f t="shared" si="9"/>
        <v>263.62</v>
      </c>
    </row>
    <row r="13" spans="1:23" x14ac:dyDescent="0.2">
      <c r="A13" s="35">
        <v>6</v>
      </c>
      <c r="B13" s="29">
        <f t="shared" si="6"/>
        <v>535.4</v>
      </c>
      <c r="C13" s="31">
        <f t="shared" si="0"/>
        <v>141142.14799999999</v>
      </c>
      <c r="D13" s="31">
        <f t="shared" si="7"/>
        <v>987995.03600000008</v>
      </c>
      <c r="E13" s="30">
        <f t="shared" si="1"/>
        <v>386.69081643835614</v>
      </c>
      <c r="F13" s="49">
        <f t="shared" si="2"/>
        <v>1.92744</v>
      </c>
      <c r="I13" s="35">
        <v>6</v>
      </c>
      <c r="J13" s="191">
        <f t="shared" ref="J13:J27" si="10">$J$7*$O$5^I13</f>
        <v>677.4518025027586</v>
      </c>
      <c r="K13" s="31">
        <f t="shared" si="8"/>
        <v>178589.84417577722</v>
      </c>
      <c r="L13" s="31">
        <f t="shared" si="3"/>
        <v>1114782.2485702066</v>
      </c>
      <c r="M13" s="30">
        <f t="shared" si="4"/>
        <v>489.28724431719786</v>
      </c>
      <c r="N13" s="49">
        <f t="shared" si="5"/>
        <v>2.4388264890099309</v>
      </c>
      <c r="O13" s="17"/>
      <c r="P13" s="17"/>
      <c r="U13">
        <f t="shared" si="9"/>
        <v>263.62</v>
      </c>
    </row>
    <row r="14" spans="1:23" x14ac:dyDescent="0.2">
      <c r="A14" s="35">
        <v>7</v>
      </c>
      <c r="B14" s="29">
        <f t="shared" si="6"/>
        <v>535.4</v>
      </c>
      <c r="C14" s="31">
        <f t="shared" ref="C14:C27" si="11">$C$2*B14</f>
        <v>141142.14799999999</v>
      </c>
      <c r="D14" s="31">
        <f t="shared" si="7"/>
        <v>1129137.1840000001</v>
      </c>
      <c r="E14" s="30">
        <f t="shared" si="1"/>
        <v>386.69081643835614</v>
      </c>
      <c r="F14" s="49">
        <f t="shared" si="2"/>
        <v>1.92744</v>
      </c>
      <c r="I14" s="35">
        <v>7</v>
      </c>
      <c r="J14" s="191">
        <f t="shared" si="10"/>
        <v>704.54987460286884</v>
      </c>
      <c r="K14" s="31">
        <f t="shared" si="8"/>
        <v>185733.43794280829</v>
      </c>
      <c r="L14" s="31">
        <f t="shared" ref="L14:L27" si="12">L13+K14</f>
        <v>1300515.6865130148</v>
      </c>
      <c r="M14" s="30">
        <f t="shared" si="4"/>
        <v>508.85873408988567</v>
      </c>
      <c r="N14" s="49">
        <f t="shared" si="5"/>
        <v>2.536379548570328</v>
      </c>
      <c r="O14" s="17"/>
      <c r="P14" s="17"/>
      <c r="U14">
        <f t="shared" si="9"/>
        <v>263.62</v>
      </c>
    </row>
    <row r="15" spans="1:23" x14ac:dyDescent="0.2">
      <c r="A15" s="35">
        <v>8</v>
      </c>
      <c r="B15" s="29">
        <f t="shared" si="6"/>
        <v>535.4</v>
      </c>
      <c r="C15" s="31">
        <f t="shared" si="11"/>
        <v>141142.14799999999</v>
      </c>
      <c r="D15" s="31">
        <f t="shared" si="7"/>
        <v>1270279.3320000002</v>
      </c>
      <c r="E15" s="30">
        <f t="shared" si="1"/>
        <v>386.69081643835614</v>
      </c>
      <c r="F15" s="49">
        <f t="shared" si="2"/>
        <v>1.92744</v>
      </c>
      <c r="I15" s="35">
        <v>8</v>
      </c>
      <c r="J15" s="191">
        <f t="shared" si="10"/>
        <v>732.73186958698375</v>
      </c>
      <c r="K15" s="31">
        <f t="shared" si="8"/>
        <v>193162.77546052067</v>
      </c>
      <c r="L15" s="31">
        <f t="shared" si="12"/>
        <v>1493678.4619735356</v>
      </c>
      <c r="M15" s="30">
        <f t="shared" si="4"/>
        <v>529.2130834534812</v>
      </c>
      <c r="N15" s="49">
        <f t="shared" si="5"/>
        <v>2.6378347305131413</v>
      </c>
      <c r="O15" s="17"/>
      <c r="P15" s="17"/>
      <c r="U15">
        <f t="shared" si="9"/>
        <v>263.62</v>
      </c>
    </row>
    <row r="16" spans="1:23" x14ac:dyDescent="0.2">
      <c r="A16" s="35">
        <v>9</v>
      </c>
      <c r="B16" s="29">
        <f t="shared" si="6"/>
        <v>535.4</v>
      </c>
      <c r="C16" s="31">
        <f t="shared" si="11"/>
        <v>141142.14799999999</v>
      </c>
      <c r="D16" s="31">
        <f t="shared" si="7"/>
        <v>1411421.4800000002</v>
      </c>
      <c r="E16" s="30">
        <f t="shared" si="1"/>
        <v>386.69081643835614</v>
      </c>
      <c r="F16" s="49">
        <f t="shared" si="2"/>
        <v>1.92744</v>
      </c>
      <c r="I16" s="35">
        <v>9</v>
      </c>
      <c r="J16" s="191">
        <f t="shared" si="10"/>
        <v>762.04114437046314</v>
      </c>
      <c r="K16" s="31">
        <f t="shared" si="8"/>
        <v>200889.2864789415</v>
      </c>
      <c r="L16" s="31">
        <f t="shared" si="12"/>
        <v>1694567.7484524772</v>
      </c>
      <c r="M16" s="30">
        <f t="shared" si="4"/>
        <v>550.38160679162047</v>
      </c>
      <c r="N16" s="49">
        <f t="shared" si="5"/>
        <v>2.7433481197336671</v>
      </c>
      <c r="O16" s="17"/>
      <c r="P16" s="17"/>
      <c r="U16">
        <f t="shared" si="9"/>
        <v>263.62</v>
      </c>
    </row>
    <row r="17" spans="1:21" x14ac:dyDescent="0.2">
      <c r="A17" s="35">
        <v>10</v>
      </c>
      <c r="B17" s="29">
        <f t="shared" si="6"/>
        <v>535.4</v>
      </c>
      <c r="C17" s="31">
        <f t="shared" si="11"/>
        <v>141142.14799999999</v>
      </c>
      <c r="D17" s="31">
        <f t="shared" si="7"/>
        <v>1552563.6280000003</v>
      </c>
      <c r="E17" s="30">
        <f t="shared" si="1"/>
        <v>386.69081643835614</v>
      </c>
      <c r="F17" s="49">
        <f t="shared" si="2"/>
        <v>1.92744</v>
      </c>
      <c r="I17" s="35">
        <v>10</v>
      </c>
      <c r="J17" s="191">
        <f t="shared" si="10"/>
        <v>792.52279014528165</v>
      </c>
      <c r="K17" s="31">
        <f t="shared" si="8"/>
        <v>208924.85793809916</v>
      </c>
      <c r="L17" s="31">
        <f t="shared" si="12"/>
        <v>1903492.6063905763</v>
      </c>
      <c r="M17" s="30">
        <f t="shared" si="4"/>
        <v>572.39687106328529</v>
      </c>
      <c r="N17" s="49">
        <f t="shared" si="5"/>
        <v>2.8530820445230138</v>
      </c>
      <c r="O17" s="17"/>
      <c r="P17" s="17"/>
      <c r="U17">
        <f t="shared" si="9"/>
        <v>263.62</v>
      </c>
    </row>
    <row r="18" spans="1:21" x14ac:dyDescent="0.2">
      <c r="A18" s="35">
        <v>11</v>
      </c>
      <c r="B18" s="29">
        <f t="shared" si="6"/>
        <v>535.4</v>
      </c>
      <c r="C18" s="31">
        <f>$C$2*B18</f>
        <v>141142.14799999999</v>
      </c>
      <c r="D18" s="31">
        <f t="shared" ref="D18:D27" si="13">D17+$D$7</f>
        <v>1693705.7760000003</v>
      </c>
      <c r="E18" s="30">
        <f t="shared" si="1"/>
        <v>386.69081643835614</v>
      </c>
      <c r="F18" s="49">
        <f t="shared" si="2"/>
        <v>1.92744</v>
      </c>
      <c r="I18" s="35">
        <v>11</v>
      </c>
      <c r="J18" s="191">
        <f t="shared" si="10"/>
        <v>824.2237017510929</v>
      </c>
      <c r="K18" s="31">
        <f t="shared" si="8"/>
        <v>217281.85225562312</v>
      </c>
      <c r="L18" s="31">
        <f t="shared" si="12"/>
        <v>2120774.4586461997</v>
      </c>
      <c r="M18" s="30">
        <f t="shared" si="4"/>
        <v>595.29274590581667</v>
      </c>
      <c r="N18" s="49">
        <f t="shared" si="5"/>
        <v>2.9672053263039344</v>
      </c>
      <c r="O18" s="17"/>
      <c r="P18" s="17"/>
      <c r="U18">
        <f t="shared" si="9"/>
        <v>263.62</v>
      </c>
    </row>
    <row r="19" spans="1:21" x14ac:dyDescent="0.2">
      <c r="A19" s="35">
        <v>12</v>
      </c>
      <c r="B19" s="29">
        <f t="shared" si="6"/>
        <v>535.4</v>
      </c>
      <c r="C19" s="31">
        <f t="shared" si="11"/>
        <v>141142.14799999999</v>
      </c>
      <c r="D19" s="31">
        <f t="shared" si="13"/>
        <v>1834847.9240000003</v>
      </c>
      <c r="E19" s="30">
        <f t="shared" si="1"/>
        <v>386.69081643835614</v>
      </c>
      <c r="F19" s="49">
        <f t="shared" si="2"/>
        <v>1.92744</v>
      </c>
      <c r="I19" s="35">
        <v>12</v>
      </c>
      <c r="J19" s="191">
        <f t="shared" si="10"/>
        <v>857.1926498211368</v>
      </c>
      <c r="K19" s="31">
        <f t="shared" si="8"/>
        <v>225973.12634584808</v>
      </c>
      <c r="L19" s="31">
        <f t="shared" si="12"/>
        <v>2346747.5849920479</v>
      </c>
      <c r="M19" s="30">
        <f t="shared" si="4"/>
        <v>619.10445574204948</v>
      </c>
      <c r="N19" s="49">
        <f t="shared" si="5"/>
        <v>3.0858935393560922</v>
      </c>
      <c r="O19" s="17"/>
      <c r="P19" s="17"/>
      <c r="U19">
        <f t="shared" si="9"/>
        <v>263.62</v>
      </c>
    </row>
    <row r="20" spans="1:21" x14ac:dyDescent="0.2">
      <c r="A20" s="35">
        <v>13</v>
      </c>
      <c r="B20" s="29">
        <f t="shared" si="6"/>
        <v>535.4</v>
      </c>
      <c r="C20" s="31">
        <f t="shared" si="11"/>
        <v>141142.14799999999</v>
      </c>
      <c r="D20" s="31">
        <f t="shared" si="13"/>
        <v>1975990.0720000004</v>
      </c>
      <c r="E20" s="30">
        <f t="shared" si="1"/>
        <v>386.69081643835614</v>
      </c>
      <c r="F20" s="49">
        <f t="shared" si="2"/>
        <v>1.92744</v>
      </c>
      <c r="I20" s="35">
        <v>13</v>
      </c>
      <c r="J20" s="191">
        <f t="shared" si="10"/>
        <v>891.48035581398221</v>
      </c>
      <c r="K20" s="31">
        <f t="shared" si="8"/>
        <v>235012.05139968201</v>
      </c>
      <c r="L20" s="31">
        <f t="shared" si="12"/>
        <v>2581759.63639173</v>
      </c>
      <c r="M20" s="30">
        <f t="shared" si="4"/>
        <v>643.86863397173147</v>
      </c>
      <c r="N20" s="49">
        <f t="shared" si="5"/>
        <v>3.2093292809303362</v>
      </c>
      <c r="O20" s="17"/>
      <c r="P20" s="17"/>
      <c r="U20">
        <f t="shared" si="9"/>
        <v>263.62</v>
      </c>
    </row>
    <row r="21" spans="1:21" x14ac:dyDescent="0.2">
      <c r="A21" s="35">
        <v>14</v>
      </c>
      <c r="B21" s="29">
        <f t="shared" si="6"/>
        <v>535.4</v>
      </c>
      <c r="C21" s="31">
        <f t="shared" si="11"/>
        <v>141142.14799999999</v>
      </c>
      <c r="D21" s="31">
        <f>D20+$D$7</f>
        <v>2117132.2200000002</v>
      </c>
      <c r="E21" s="30">
        <f t="shared" si="1"/>
        <v>386.69081643835614</v>
      </c>
      <c r="F21" s="49">
        <f t="shared" si="2"/>
        <v>1.92744</v>
      </c>
      <c r="I21" s="35">
        <v>14</v>
      </c>
      <c r="J21" s="191">
        <f t="shared" si="10"/>
        <v>927.13957004654151</v>
      </c>
      <c r="K21" s="31">
        <f t="shared" si="8"/>
        <v>244412.53345566927</v>
      </c>
      <c r="L21" s="31">
        <f t="shared" si="12"/>
        <v>2826172.1698473995</v>
      </c>
      <c r="M21" s="30">
        <f t="shared" si="4"/>
        <v>669.62337933060076</v>
      </c>
      <c r="N21" s="49">
        <f t="shared" si="5"/>
        <v>3.3377024521675498</v>
      </c>
      <c r="O21" s="17"/>
      <c r="P21" s="17"/>
      <c r="U21">
        <f t="shared" si="9"/>
        <v>263.62</v>
      </c>
    </row>
    <row r="22" spans="1:21" x14ac:dyDescent="0.2">
      <c r="A22" s="35">
        <v>15</v>
      </c>
      <c r="B22" s="29">
        <f t="shared" si="6"/>
        <v>535.4</v>
      </c>
      <c r="C22" s="31">
        <f t="shared" si="11"/>
        <v>141142.14799999999</v>
      </c>
      <c r="D22" s="31">
        <f>D21+$D$7</f>
        <v>2258274.3680000002</v>
      </c>
      <c r="E22" s="30">
        <f t="shared" si="1"/>
        <v>386.69081643835614</v>
      </c>
      <c r="F22" s="49">
        <f t="shared" si="2"/>
        <v>1.92744</v>
      </c>
      <c r="I22" s="35">
        <v>15</v>
      </c>
      <c r="J22" s="191">
        <f t="shared" si="10"/>
        <v>964.22515284840313</v>
      </c>
      <c r="K22" s="31">
        <f t="shared" si="8"/>
        <v>254189.03479389605</v>
      </c>
      <c r="L22" s="31">
        <f t="shared" si="12"/>
        <v>3080361.2046412956</v>
      </c>
      <c r="M22" s="30">
        <f t="shared" si="4"/>
        <v>696.40831450382473</v>
      </c>
      <c r="N22" s="49">
        <f t="shared" si="5"/>
        <v>3.4712105502542516</v>
      </c>
      <c r="O22" s="17"/>
      <c r="P22" s="17"/>
      <c r="U22">
        <f t="shared" si="9"/>
        <v>263.62</v>
      </c>
    </row>
    <row r="23" spans="1:21" x14ac:dyDescent="0.2">
      <c r="A23" s="35">
        <v>16</v>
      </c>
      <c r="B23" s="29">
        <f t="shared" si="6"/>
        <v>535.4</v>
      </c>
      <c r="C23" s="31">
        <f t="shared" si="11"/>
        <v>141142.14799999999</v>
      </c>
      <c r="D23" s="31">
        <f>D22+$D$7</f>
        <v>2399416.5160000003</v>
      </c>
      <c r="E23" s="30">
        <f t="shared" si="1"/>
        <v>386.69081643835614</v>
      </c>
      <c r="F23" s="49">
        <f t="shared" si="2"/>
        <v>1.92744</v>
      </c>
      <c r="I23" s="35">
        <v>16</v>
      </c>
      <c r="J23" s="191">
        <f t="shared" si="10"/>
        <v>1002.7941589623395</v>
      </c>
      <c r="K23" s="31">
        <f t="shared" si="8"/>
        <v>264356.59618565196</v>
      </c>
      <c r="L23" s="31">
        <f t="shared" si="12"/>
        <v>3344717.8008269477</v>
      </c>
      <c r="M23" s="30">
        <f t="shared" si="4"/>
        <v>724.26464708397782</v>
      </c>
      <c r="N23" s="49">
        <f t="shared" si="5"/>
        <v>3.6100589722644219</v>
      </c>
      <c r="O23" s="17"/>
      <c r="P23" s="17"/>
      <c r="U23">
        <f t="shared" si="9"/>
        <v>263.62</v>
      </c>
    </row>
    <row r="24" spans="1:21" x14ac:dyDescent="0.2">
      <c r="A24" s="35">
        <v>17</v>
      </c>
      <c r="B24" s="29">
        <f t="shared" si="6"/>
        <v>535.4</v>
      </c>
      <c r="C24" s="31">
        <f t="shared" si="11"/>
        <v>141142.14799999999</v>
      </c>
      <c r="D24" s="31">
        <f t="shared" si="13"/>
        <v>2540558.6640000003</v>
      </c>
      <c r="E24" s="30">
        <f t="shared" si="1"/>
        <v>386.69081643835614</v>
      </c>
      <c r="F24" s="49">
        <f t="shared" si="2"/>
        <v>1.92744</v>
      </c>
      <c r="I24" s="35">
        <v>17</v>
      </c>
      <c r="J24" s="191">
        <f t="shared" si="10"/>
        <v>1042.9059253208331</v>
      </c>
      <c r="K24" s="31">
        <f t="shared" si="8"/>
        <v>274930.86003307806</v>
      </c>
      <c r="L24" s="31">
        <f t="shared" si="12"/>
        <v>3619648.6608600258</v>
      </c>
      <c r="M24" s="30">
        <f t="shared" si="4"/>
        <v>753.23523296733708</v>
      </c>
      <c r="N24" s="49">
        <f t="shared" si="5"/>
        <v>3.7544613311549995</v>
      </c>
      <c r="O24" s="17"/>
      <c r="P24" s="17"/>
      <c r="U24">
        <f t="shared" si="9"/>
        <v>263.62</v>
      </c>
    </row>
    <row r="25" spans="1:21" x14ac:dyDescent="0.2">
      <c r="A25" s="35">
        <v>18</v>
      </c>
      <c r="B25" s="29">
        <f t="shared" si="6"/>
        <v>535.4</v>
      </c>
      <c r="C25" s="31">
        <f t="shared" si="11"/>
        <v>141142.14799999999</v>
      </c>
      <c r="D25" s="31">
        <f t="shared" si="13"/>
        <v>2681700.8120000004</v>
      </c>
      <c r="E25" s="30">
        <f t="shared" si="1"/>
        <v>386.69081643835614</v>
      </c>
      <c r="F25" s="49">
        <f t="shared" si="2"/>
        <v>1.92744</v>
      </c>
      <c r="I25" s="35">
        <v>18</v>
      </c>
      <c r="J25" s="191">
        <f t="shared" si="10"/>
        <v>1084.6221623336664</v>
      </c>
      <c r="K25" s="31">
        <f>J25*$C$2</f>
        <v>285928.09443440114</v>
      </c>
      <c r="L25" s="31">
        <f t="shared" si="12"/>
        <v>3905576.7552944268</v>
      </c>
      <c r="M25" s="30">
        <f t="shared" si="4"/>
        <v>783.36464228603052</v>
      </c>
      <c r="N25" s="49">
        <f t="shared" si="5"/>
        <v>3.9046397844011995</v>
      </c>
      <c r="O25" s="17"/>
      <c r="P25" s="17"/>
      <c r="U25">
        <f t="shared" si="9"/>
        <v>263.62</v>
      </c>
    </row>
    <row r="26" spans="1:21" x14ac:dyDescent="0.2">
      <c r="A26" s="35">
        <v>19</v>
      </c>
      <c r="B26" s="29">
        <f t="shared" si="6"/>
        <v>535.4</v>
      </c>
      <c r="C26" s="31">
        <f t="shared" si="11"/>
        <v>141142.14799999999</v>
      </c>
      <c r="D26" s="31">
        <f t="shared" si="13"/>
        <v>2822842.9600000004</v>
      </c>
      <c r="E26" s="30">
        <f t="shared" si="1"/>
        <v>386.69081643835614</v>
      </c>
      <c r="F26" s="49">
        <f t="shared" si="2"/>
        <v>1.92744</v>
      </c>
      <c r="I26" s="35">
        <v>19</v>
      </c>
      <c r="J26" s="191">
        <f t="shared" si="10"/>
        <v>1128.0070488270133</v>
      </c>
      <c r="K26" s="31">
        <f t="shared" si="8"/>
        <v>297365.21821177722</v>
      </c>
      <c r="L26" s="31">
        <f t="shared" si="12"/>
        <v>4202941.9735062039</v>
      </c>
      <c r="M26" s="30">
        <f t="shared" si="4"/>
        <v>814.69922797747188</v>
      </c>
      <c r="N26" s="49">
        <f t="shared" si="5"/>
        <v>4.0608253757772479</v>
      </c>
      <c r="O26" s="17"/>
      <c r="P26" s="17"/>
      <c r="U26">
        <f t="shared" si="9"/>
        <v>263.62</v>
      </c>
    </row>
    <row r="27" spans="1:21" ht="17" thickBot="1" x14ac:dyDescent="0.25">
      <c r="A27" s="37">
        <v>20</v>
      </c>
      <c r="B27" s="46">
        <f t="shared" si="6"/>
        <v>535.4</v>
      </c>
      <c r="C27" s="39">
        <f t="shared" si="11"/>
        <v>141142.14799999999</v>
      </c>
      <c r="D27" s="39">
        <f t="shared" si="13"/>
        <v>2963985.1080000005</v>
      </c>
      <c r="E27" s="38">
        <f t="shared" si="1"/>
        <v>386.69081643835614</v>
      </c>
      <c r="F27" s="50">
        <f t="shared" si="2"/>
        <v>1.92744</v>
      </c>
      <c r="I27" s="37">
        <v>20</v>
      </c>
      <c r="J27" s="192">
        <f t="shared" si="10"/>
        <v>1173.1273307800936</v>
      </c>
      <c r="K27" s="39">
        <f>J27*$C$2</f>
        <v>309259.82694024831</v>
      </c>
      <c r="L27" s="39">
        <f t="shared" si="12"/>
        <v>4512201.8004464526</v>
      </c>
      <c r="M27" s="38">
        <f t="shared" si="4"/>
        <v>847.28719709657059</v>
      </c>
      <c r="N27" s="50">
        <f t="shared" si="5"/>
        <v>4.2232583908083372</v>
      </c>
      <c r="O27" s="17"/>
      <c r="P27" s="17"/>
    </row>
    <row r="28" spans="1:21" x14ac:dyDescent="0.2">
      <c r="I28" s="3"/>
    </row>
    <row r="29" spans="1:21" x14ac:dyDescent="0.2">
      <c r="I29" s="3"/>
    </row>
    <row r="30" spans="1:21" x14ac:dyDescent="0.2">
      <c r="I30" s="3"/>
    </row>
    <row r="31" spans="1:21" x14ac:dyDescent="0.2">
      <c r="I31" s="3"/>
    </row>
    <row r="34" spans="2:11" x14ac:dyDescent="0.2">
      <c r="B34" t="s">
        <v>8</v>
      </c>
      <c r="C34">
        <v>365</v>
      </c>
      <c r="D34" t="s">
        <v>7</v>
      </c>
      <c r="H34" t="s">
        <v>56</v>
      </c>
      <c r="J34" t="s">
        <v>15</v>
      </c>
    </row>
    <row r="35" spans="2:11" x14ac:dyDescent="0.2">
      <c r="B35" t="s">
        <v>17</v>
      </c>
      <c r="C35">
        <f>C2/C34</f>
        <v>0.72224657534246572</v>
      </c>
      <c r="D35" t="s">
        <v>9</v>
      </c>
      <c r="E35" s="2">
        <f>C36*1000*365</f>
        <v>73227.777777777766</v>
      </c>
      <c r="F35" t="s">
        <v>19</v>
      </c>
      <c r="H35">
        <f>C1*C35</f>
        <v>386.69081643835614</v>
      </c>
      <c r="I35" t="s">
        <v>14</v>
      </c>
      <c r="J35">
        <f>H35/E36</f>
        <v>1.92744</v>
      </c>
      <c r="K35" t="s">
        <v>16</v>
      </c>
    </row>
    <row r="36" spans="2:11" x14ac:dyDescent="0.2">
      <c r="C36">
        <f>C35/3.6</f>
        <v>0.20062404870624048</v>
      </c>
      <c r="D36" t="s">
        <v>10</v>
      </c>
      <c r="E36">
        <f>C36*1000</f>
        <v>200.62404870624047</v>
      </c>
      <c r="F36" t="s">
        <v>11</v>
      </c>
    </row>
    <row r="38" spans="2:11" x14ac:dyDescent="0.2">
      <c r="B38" s="14"/>
      <c r="C38" s="150"/>
      <c r="D38" s="151"/>
      <c r="H38" t="s">
        <v>52</v>
      </c>
      <c r="J38" t="s">
        <v>15</v>
      </c>
    </row>
    <row r="39" spans="2:11" x14ac:dyDescent="0.2">
      <c r="B39" s="14"/>
      <c r="C39" s="119">
        <f>C3/365</f>
        <v>1.789041095890411</v>
      </c>
      <c r="D39" s="151" t="s">
        <v>143</v>
      </c>
      <c r="H39">
        <f>C35*J8</f>
        <v>402.15844909589043</v>
      </c>
      <c r="J39">
        <f>H39/E36</f>
        <v>2.0045376000000004</v>
      </c>
      <c r="K39" t="s">
        <v>16</v>
      </c>
    </row>
    <row r="40" spans="2:11" x14ac:dyDescent="0.2">
      <c r="C40">
        <f>C39*1000</f>
        <v>1789.041095890411</v>
      </c>
      <c r="D40" s="151" t="s">
        <v>179</v>
      </c>
    </row>
  </sheetData>
  <mergeCells count="2">
    <mergeCell ref="A5:G5"/>
    <mergeCell ref="I5:N5"/>
  </mergeCells>
  <pageMargins left="0.7" right="0.7" top="0.75" bottom="0.75" header="0.3" footer="0.3"/>
  <pageSetup paperSize="9" orientation="portrait" horizontalDpi="0" verticalDpi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91"/>
  <sheetViews>
    <sheetView zoomScale="80" zoomScaleNormal="80" zoomScalePageLayoutView="80" workbookViewId="0">
      <selection activeCell="AH4" sqref="AH4"/>
    </sheetView>
  </sheetViews>
  <sheetFormatPr baseColWidth="10" defaultColWidth="11" defaultRowHeight="16" x14ac:dyDescent="0.2"/>
  <cols>
    <col min="2" max="2" width="11.6640625" bestFit="1" customWidth="1"/>
    <col min="3" max="3" width="25.33203125" bestFit="1" customWidth="1"/>
    <col min="4" max="4" width="25.1640625" bestFit="1" customWidth="1"/>
    <col min="5" max="5" width="19.1640625" bestFit="1" customWidth="1"/>
    <col min="6" max="6" width="30.33203125" bestFit="1" customWidth="1"/>
    <col min="7" max="7" width="23.6640625" bestFit="1" customWidth="1"/>
    <col min="8" max="8" width="23" bestFit="1" customWidth="1"/>
    <col min="9" max="10" width="21.33203125" bestFit="1" customWidth="1"/>
    <col min="11" max="11" width="16.5" bestFit="1" customWidth="1"/>
    <col min="12" max="12" width="26.33203125" bestFit="1" customWidth="1"/>
    <col min="14" max="14" width="9.5" customWidth="1"/>
    <col min="15" max="15" width="42.6640625" bestFit="1" customWidth="1"/>
    <col min="16" max="16" width="29.1640625" bestFit="1" customWidth="1"/>
    <col min="17" max="17" width="27.83203125" bestFit="1" customWidth="1"/>
    <col min="18" max="18" width="25.83203125" bestFit="1" customWidth="1"/>
    <col min="19" max="19" width="30.6640625" bestFit="1" customWidth="1"/>
    <col min="20" max="20" width="39.83203125" bestFit="1" customWidth="1"/>
    <col min="21" max="21" width="23.33203125" bestFit="1" customWidth="1"/>
    <col min="22" max="23" width="24.5" bestFit="1" customWidth="1"/>
    <col min="24" max="24" width="17" bestFit="1" customWidth="1"/>
  </cols>
  <sheetData>
    <row r="1" spans="1:34" ht="17" thickBot="1" x14ac:dyDescent="0.25">
      <c r="D1" s="254" t="s">
        <v>93</v>
      </c>
      <c r="E1" s="255"/>
      <c r="F1" s="255" t="s">
        <v>94</v>
      </c>
      <c r="G1" s="256"/>
      <c r="P1" t="s">
        <v>57</v>
      </c>
      <c r="U1" s="11" t="s">
        <v>39</v>
      </c>
      <c r="V1" s="11" t="s">
        <v>40</v>
      </c>
    </row>
    <row r="2" spans="1:34" ht="17" thickBot="1" x14ac:dyDescent="0.25">
      <c r="A2" s="259" t="s">
        <v>91</v>
      </c>
      <c r="B2" s="260"/>
      <c r="C2" s="257" t="s">
        <v>92</v>
      </c>
      <c r="D2" s="83">
        <f>Teplárna!E35</f>
        <v>73227.777777777766</v>
      </c>
      <c r="E2" s="84" t="s">
        <v>19</v>
      </c>
      <c r="F2" s="85">
        <f>Teplárna!$E$36</f>
        <v>200.62404870624047</v>
      </c>
      <c r="G2" s="86" t="s">
        <v>11</v>
      </c>
      <c r="P2" s="15">
        <f>F2</f>
        <v>200.62404870624047</v>
      </c>
      <c r="Q2" s="63" t="s">
        <v>11</v>
      </c>
      <c r="U2" s="10" t="s">
        <v>41</v>
      </c>
      <c r="V2" s="10" t="s">
        <v>42</v>
      </c>
    </row>
    <row r="3" spans="1:34" ht="20" thickBot="1" x14ac:dyDescent="0.3">
      <c r="A3" s="261"/>
      <c r="B3" s="262"/>
      <c r="C3" s="258"/>
      <c r="D3" s="80">
        <f>Teplárna!$C$2</f>
        <v>263.62</v>
      </c>
      <c r="E3" s="46" t="s">
        <v>18</v>
      </c>
      <c r="F3" s="46">
        <f>Teplárna!C35</f>
        <v>0.72224657534246572</v>
      </c>
      <c r="G3" s="81" t="s">
        <v>9</v>
      </c>
      <c r="O3" s="251" t="s">
        <v>105</v>
      </c>
      <c r="P3" s="252"/>
      <c r="Q3" s="252"/>
      <c r="R3" s="252"/>
      <c r="S3" s="252"/>
      <c r="T3" s="253"/>
      <c r="U3" s="249" t="s">
        <v>90</v>
      </c>
      <c r="V3" s="249"/>
      <c r="W3" s="249"/>
      <c r="X3" s="250"/>
      <c r="AH3" t="s">
        <v>87</v>
      </c>
    </row>
    <row r="4" spans="1:34" ht="17" thickBot="1" x14ac:dyDescent="0.25">
      <c r="A4" s="263"/>
      <c r="B4" s="264"/>
      <c r="C4" s="82" t="s">
        <v>99</v>
      </c>
      <c r="D4" s="112">
        <v>17200</v>
      </c>
      <c r="E4" s="82" t="s">
        <v>19</v>
      </c>
      <c r="F4" s="71"/>
      <c r="G4" s="71"/>
      <c r="O4" s="52" t="s">
        <v>25</v>
      </c>
      <c r="P4" s="122" t="s">
        <v>107</v>
      </c>
      <c r="Q4" s="122" t="s">
        <v>100</v>
      </c>
      <c r="R4" s="122" t="s">
        <v>101</v>
      </c>
      <c r="S4" s="122" t="s">
        <v>102</v>
      </c>
      <c r="T4" s="121" t="s">
        <v>103</v>
      </c>
      <c r="U4" s="123" t="s">
        <v>44</v>
      </c>
      <c r="V4" s="124" t="s">
        <v>46</v>
      </c>
      <c r="W4" s="125" t="s">
        <v>45</v>
      </c>
      <c r="X4" s="126" t="s">
        <v>47</v>
      </c>
      <c r="AH4" s="210">
        <f>+AF6/AH6</f>
        <v>848.28690167272703</v>
      </c>
    </row>
    <row r="5" spans="1:34" ht="16" customHeight="1" x14ac:dyDescent="0.2">
      <c r="J5" s="7"/>
      <c r="O5" s="95" t="s">
        <v>26</v>
      </c>
      <c r="P5" s="84">
        <v>15.4</v>
      </c>
      <c r="Q5" s="85">
        <f>$F$2-P5</f>
        <v>185.22404870624047</v>
      </c>
      <c r="R5" s="85">
        <f>T5/3.6*1000</f>
        <v>5741.945509893455</v>
      </c>
      <c r="S5" s="96">
        <f>(Q5*3.6)/1000</f>
        <v>0.66680657534246579</v>
      </c>
      <c r="T5" s="97">
        <f t="shared" ref="T5:T15" si="0">S5*AA24</f>
        <v>20.671003835616439</v>
      </c>
      <c r="U5" s="83">
        <f>S5*Teplárna!$J$8</f>
        <v>371.28857005589043</v>
      </c>
      <c r="V5" s="93">
        <f t="shared" ref="V5:V15" si="1">U5*AA24</f>
        <v>11509.945671732603</v>
      </c>
      <c r="W5" s="85">
        <f t="shared" ref="W5:W15" si="2">S35</f>
        <v>12466.911921972604</v>
      </c>
      <c r="X5" s="94">
        <f t="shared" ref="X5:X17" si="3">W5-V5</f>
        <v>956.96625024000059</v>
      </c>
      <c r="Z5" s="61"/>
      <c r="AA5" s="61"/>
      <c r="AB5" s="61"/>
      <c r="AE5" s="26">
        <f>D21</f>
        <v>706947</v>
      </c>
    </row>
    <row r="6" spans="1:34" ht="17" thickBot="1" x14ac:dyDescent="0.25">
      <c r="O6" s="35" t="s">
        <v>27</v>
      </c>
      <c r="P6" s="29">
        <v>30.3</v>
      </c>
      <c r="Q6" s="30">
        <f t="shared" ref="Q6:Q17" si="4">$F$2-P6</f>
        <v>170.32404870624046</v>
      </c>
      <c r="R6" s="30">
        <f>T6/3.6*1000</f>
        <v>4769.0733637747326</v>
      </c>
      <c r="S6" s="72">
        <f t="shared" ref="S6:S17" si="5">(Q6*3.6)/1000</f>
        <v>0.61316657534246566</v>
      </c>
      <c r="T6" s="87">
        <f t="shared" si="0"/>
        <v>17.168664109589038</v>
      </c>
      <c r="U6" s="79">
        <f>S6*Teplárna!$J$8</f>
        <v>341.4209598158904</v>
      </c>
      <c r="V6" s="45">
        <f t="shared" si="1"/>
        <v>9559.7868748449309</v>
      </c>
      <c r="W6" s="30">
        <f t="shared" si="2"/>
        <v>11260.436574684933</v>
      </c>
      <c r="X6" s="49">
        <f t="shared" si="3"/>
        <v>1700.6496998400016</v>
      </c>
      <c r="Z6" s="61"/>
      <c r="AA6" s="61"/>
      <c r="AB6" s="61"/>
      <c r="AD6">
        <v>1</v>
      </c>
      <c r="AE6" s="2">
        <f>D29</f>
        <v>117426.2072</v>
      </c>
      <c r="AF6" s="28">
        <f>NPV(0.03,AE6:AE26)+AE5</f>
        <v>3326981.1627991223</v>
      </c>
      <c r="AG6" s="3">
        <f>D3</f>
        <v>263.62</v>
      </c>
      <c r="AH6" s="26">
        <f>NPV(0.03,AG6:AG26)</f>
        <v>3921.9999227132789</v>
      </c>
    </row>
    <row r="7" spans="1:34" ht="19" x14ac:dyDescent="0.25">
      <c r="C7" s="265" t="s">
        <v>120</v>
      </c>
      <c r="D7" s="266"/>
      <c r="E7" s="267"/>
      <c r="J7" s="2"/>
      <c r="O7" s="35" t="s">
        <v>28</v>
      </c>
      <c r="P7" s="29">
        <v>52.6</v>
      </c>
      <c r="Q7" s="30">
        <f t="shared" si="4"/>
        <v>148.02404870624048</v>
      </c>
      <c r="R7" s="30">
        <f t="shared" ref="R7:R17" si="6">T7/3.6*1000</f>
        <v>4588.7455098934552</v>
      </c>
      <c r="S7" s="72">
        <f t="shared" si="5"/>
        <v>0.53288657534246575</v>
      </c>
      <c r="T7" s="87">
        <f t="shared" si="0"/>
        <v>16.519483835616438</v>
      </c>
      <c r="U7" s="79">
        <f>S7*Teplárna!$J$8</f>
        <v>296.71977133589041</v>
      </c>
      <c r="V7" s="45">
        <f t="shared" si="1"/>
        <v>9198.3129114126023</v>
      </c>
      <c r="W7" s="30">
        <f t="shared" si="2"/>
        <v>12466.911921972604</v>
      </c>
      <c r="X7" s="49">
        <f t="shared" si="3"/>
        <v>3268.5990105600013</v>
      </c>
      <c r="Z7" s="61"/>
      <c r="AA7" s="61"/>
      <c r="AB7" s="61"/>
      <c r="AD7">
        <f t="shared" ref="AD7:AD26" si="7">+AD6+1</f>
        <v>2</v>
      </c>
      <c r="AE7" s="2">
        <f t="shared" ref="AE7:AE26" si="8">D30</f>
        <v>122205.45603671041</v>
      </c>
      <c r="AG7">
        <f t="shared" ref="AG7:AG26" si="9">+AG6</f>
        <v>263.62</v>
      </c>
    </row>
    <row r="8" spans="1:34" x14ac:dyDescent="0.2">
      <c r="C8" s="219" t="s">
        <v>64</v>
      </c>
      <c r="D8" s="213"/>
      <c r="E8" s="220"/>
      <c r="F8" s="22"/>
      <c r="O8" s="35" t="s">
        <v>29</v>
      </c>
      <c r="P8" s="29">
        <v>69.2</v>
      </c>
      <c r="Q8" s="30">
        <f t="shared" si="4"/>
        <v>131.42404870624046</v>
      </c>
      <c r="R8" s="30">
        <f t="shared" si="6"/>
        <v>3942.7214611872132</v>
      </c>
      <c r="S8" s="72">
        <f t="shared" si="5"/>
        <v>0.47312657534246561</v>
      </c>
      <c r="T8" s="87">
        <f t="shared" si="0"/>
        <v>14.193797260273968</v>
      </c>
      <c r="U8" s="79">
        <f>S8*Teplárna!$J$8</f>
        <v>263.44444717589033</v>
      </c>
      <c r="V8" s="45">
        <f t="shared" si="1"/>
        <v>7903.3334152767102</v>
      </c>
      <c r="W8" s="30">
        <f t="shared" si="2"/>
        <v>12064.753472876713</v>
      </c>
      <c r="X8" s="49">
        <f t="shared" si="3"/>
        <v>4161.420057600003</v>
      </c>
      <c r="Z8" s="61"/>
      <c r="AA8" s="61"/>
      <c r="AB8" s="61"/>
      <c r="AD8">
        <f t="shared" si="7"/>
        <v>3</v>
      </c>
      <c r="AE8" s="2">
        <f t="shared" si="8"/>
        <v>127187.34912083764</v>
      </c>
      <c r="AG8">
        <f t="shared" si="9"/>
        <v>263.62</v>
      </c>
    </row>
    <row r="9" spans="1:34" x14ac:dyDescent="0.2">
      <c r="B9" s="20" t="s">
        <v>58</v>
      </c>
      <c r="C9" s="221" t="s">
        <v>132</v>
      </c>
      <c r="D9" s="214">
        <v>250</v>
      </c>
      <c r="E9" s="222" t="s">
        <v>63</v>
      </c>
      <c r="H9">
        <v>1000</v>
      </c>
      <c r="I9" t="s">
        <v>177</v>
      </c>
      <c r="O9" s="35" t="s">
        <v>30</v>
      </c>
      <c r="P9" s="29">
        <v>69.8</v>
      </c>
      <c r="Q9" s="30">
        <f t="shared" si="4"/>
        <v>130.82404870624049</v>
      </c>
      <c r="R9" s="30">
        <f t="shared" si="6"/>
        <v>4055.5455098934549</v>
      </c>
      <c r="S9" s="72">
        <f t="shared" si="5"/>
        <v>0.47096657534246578</v>
      </c>
      <c r="T9" s="87">
        <f t="shared" si="0"/>
        <v>14.599963835616439</v>
      </c>
      <c r="U9" s="79">
        <f>S9*Teplárna!$J$8</f>
        <v>262.24172461589046</v>
      </c>
      <c r="V9" s="45">
        <f t="shared" si="1"/>
        <v>8129.4934630926045</v>
      </c>
      <c r="W9" s="30">
        <f t="shared" si="2"/>
        <v>12466.911921972604</v>
      </c>
      <c r="X9" s="49">
        <f t="shared" si="3"/>
        <v>4337.418458879999</v>
      </c>
      <c r="Z9" s="61"/>
      <c r="AA9" s="61"/>
      <c r="AB9" s="61"/>
      <c r="AD9">
        <f t="shared" si="7"/>
        <v>4</v>
      </c>
      <c r="AE9" s="2">
        <f t="shared" si="8"/>
        <v>132380.45119403632</v>
      </c>
      <c r="AG9">
        <f t="shared" si="9"/>
        <v>263.62</v>
      </c>
    </row>
    <row r="10" spans="1:34" x14ac:dyDescent="0.2">
      <c r="C10" s="223" t="s">
        <v>59</v>
      </c>
      <c r="D10" s="214">
        <v>4828</v>
      </c>
      <c r="E10" s="222" t="s">
        <v>60</v>
      </c>
      <c r="G10" t="s">
        <v>127</v>
      </c>
      <c r="H10">
        <f>H11*J11</f>
        <v>4116.42</v>
      </c>
      <c r="I10" t="s">
        <v>176</v>
      </c>
      <c r="O10" s="35" t="s">
        <v>31</v>
      </c>
      <c r="P10" s="29">
        <v>72.3</v>
      </c>
      <c r="Q10" s="30">
        <f t="shared" si="4"/>
        <v>128.32404870624049</v>
      </c>
      <c r="R10" s="30">
        <f t="shared" si="6"/>
        <v>3849.721461187215</v>
      </c>
      <c r="S10" s="72">
        <f t="shared" si="5"/>
        <v>0.46196657534246577</v>
      </c>
      <c r="T10" s="87">
        <f t="shared" si="0"/>
        <v>13.858997260273973</v>
      </c>
      <c r="U10" s="79">
        <f>S10*Teplárna!$J$8</f>
        <v>257.23038061589045</v>
      </c>
      <c r="V10" s="45">
        <f t="shared" si="1"/>
        <v>7716.9114184767132</v>
      </c>
      <c r="W10" s="30">
        <f t="shared" si="2"/>
        <v>12064.753472876713</v>
      </c>
      <c r="X10" s="49">
        <f t="shared" si="3"/>
        <v>4347.8420544000001</v>
      </c>
      <c r="AD10">
        <f t="shared" si="7"/>
        <v>5</v>
      </c>
      <c r="AE10" s="2">
        <f t="shared" si="8"/>
        <v>137793.68794649755</v>
      </c>
      <c r="AG10">
        <f t="shared" si="9"/>
        <v>263.62</v>
      </c>
    </row>
    <row r="11" spans="1:34" x14ac:dyDescent="0.2">
      <c r="C11" s="223" t="s">
        <v>61</v>
      </c>
      <c r="D11" s="214">
        <f>(18000/D9)*D10</f>
        <v>347616</v>
      </c>
      <c r="E11" s="222" t="s">
        <v>60</v>
      </c>
      <c r="F11" t="s">
        <v>124</v>
      </c>
      <c r="G11">
        <v>72</v>
      </c>
      <c r="H11">
        <f>G11*H12</f>
        <v>117.61199999999999</v>
      </c>
      <c r="I11" t="s">
        <v>174</v>
      </c>
      <c r="J11">
        <v>35</v>
      </c>
      <c r="O11" s="35" t="s">
        <v>32</v>
      </c>
      <c r="P11" s="29">
        <v>68.400000000000006</v>
      </c>
      <c r="Q11" s="30">
        <f t="shared" si="4"/>
        <v>132.22404870624047</v>
      </c>
      <c r="R11" s="30">
        <f t="shared" si="6"/>
        <v>4098.9455098934541</v>
      </c>
      <c r="S11" s="72">
        <f t="shared" si="5"/>
        <v>0.47600657534246565</v>
      </c>
      <c r="T11" s="87">
        <f t="shared" si="0"/>
        <v>14.756203835616436</v>
      </c>
      <c r="U11" s="79">
        <f>S11*Teplárna!$J$8</f>
        <v>265.04807725589035</v>
      </c>
      <c r="V11" s="45">
        <f t="shared" si="1"/>
        <v>8216.4903949325999</v>
      </c>
      <c r="W11" s="30">
        <f t="shared" si="2"/>
        <v>12466.911921972604</v>
      </c>
      <c r="X11" s="49">
        <f t="shared" si="3"/>
        <v>4250.4215270400036</v>
      </c>
      <c r="AD11">
        <f t="shared" si="7"/>
        <v>6</v>
      </c>
      <c r="AE11" s="2">
        <f t="shared" si="8"/>
        <v>143436.36118924525</v>
      </c>
      <c r="AG11">
        <f t="shared" si="9"/>
        <v>263.62</v>
      </c>
    </row>
    <row r="12" spans="1:34" ht="32" x14ac:dyDescent="0.2">
      <c r="C12" s="224" t="s">
        <v>122</v>
      </c>
      <c r="D12" s="215">
        <v>30000</v>
      </c>
      <c r="E12" s="225" t="s">
        <v>60</v>
      </c>
      <c r="F12" s="164"/>
      <c r="G12" s="164"/>
      <c r="H12" s="164">
        <f>1.65*0.99</f>
        <v>1.6335</v>
      </c>
      <c r="I12" s="164" t="s">
        <v>175</v>
      </c>
      <c r="J12" s="164"/>
      <c r="K12" s="164"/>
      <c r="L12" s="164"/>
      <c r="M12" s="164"/>
      <c r="N12" s="164"/>
      <c r="O12" s="163" t="s">
        <v>33</v>
      </c>
      <c r="P12" s="165">
        <v>65.5</v>
      </c>
      <c r="Q12" s="166">
        <f t="shared" si="4"/>
        <v>135.12404870624047</v>
      </c>
      <c r="R12" s="166">
        <f t="shared" si="6"/>
        <v>4188.8455098934546</v>
      </c>
      <c r="S12" s="167">
        <f t="shared" si="5"/>
        <v>0.48644657534246571</v>
      </c>
      <c r="T12" s="168">
        <f t="shared" si="0"/>
        <v>15.079843835616437</v>
      </c>
      <c r="U12" s="169">
        <f>S12*Teplárna!$J$8</f>
        <v>270.86123629589042</v>
      </c>
      <c r="V12" s="170">
        <f t="shared" si="1"/>
        <v>8396.6983251726033</v>
      </c>
      <c r="W12" s="166">
        <f t="shared" si="2"/>
        <v>12466.911921972604</v>
      </c>
      <c r="X12" s="171">
        <f t="shared" si="3"/>
        <v>4070.2135968000002</v>
      </c>
      <c r="Y12" s="164"/>
      <c r="Z12" s="164"/>
      <c r="AA12" s="164"/>
      <c r="AB12" s="164"/>
      <c r="AC12" s="164"/>
      <c r="AD12" s="164">
        <f t="shared" si="7"/>
        <v>7</v>
      </c>
      <c r="AE12" s="2">
        <f t="shared" si="8"/>
        <v>149318.16466269831</v>
      </c>
      <c r="AF12" s="164"/>
      <c r="AG12" s="164">
        <f t="shared" si="9"/>
        <v>263.62</v>
      </c>
      <c r="AH12" s="164"/>
    </row>
    <row r="13" spans="1:34" x14ac:dyDescent="0.2">
      <c r="C13" s="223" t="s">
        <v>89</v>
      </c>
      <c r="D13" s="216">
        <v>50000</v>
      </c>
      <c r="E13" s="222"/>
      <c r="O13" s="35" t="s">
        <v>34</v>
      </c>
      <c r="P13" s="29">
        <v>53.3</v>
      </c>
      <c r="Q13" s="30">
        <f t="shared" si="4"/>
        <v>147.32404870624049</v>
      </c>
      <c r="R13" s="30">
        <f t="shared" si="6"/>
        <v>4419.721461187215</v>
      </c>
      <c r="S13" s="72">
        <f t="shared" si="5"/>
        <v>0.53036657534246578</v>
      </c>
      <c r="T13" s="87">
        <f t="shared" si="0"/>
        <v>15.910997260273973</v>
      </c>
      <c r="U13" s="79">
        <f>S13*Teplárna!$J$8</f>
        <v>295.31659501589047</v>
      </c>
      <c r="V13" s="45">
        <f t="shared" si="1"/>
        <v>8859.4978504767132</v>
      </c>
      <c r="W13" s="30">
        <f t="shared" si="2"/>
        <v>12064.753472876713</v>
      </c>
      <c r="X13" s="49">
        <f t="shared" si="3"/>
        <v>3205.2556224</v>
      </c>
      <c r="AD13">
        <f t="shared" si="7"/>
        <v>8</v>
      </c>
      <c r="AE13" s="2">
        <f t="shared" si="8"/>
        <v>155449.20050812489</v>
      </c>
      <c r="AG13">
        <f t="shared" si="9"/>
        <v>263.62</v>
      </c>
    </row>
    <row r="14" spans="1:34" x14ac:dyDescent="0.2">
      <c r="B14" s="20" t="s">
        <v>58</v>
      </c>
      <c r="C14" s="219" t="s">
        <v>65</v>
      </c>
      <c r="D14" s="214"/>
      <c r="E14" s="222"/>
      <c r="O14" s="35" t="s">
        <v>35</v>
      </c>
      <c r="P14" s="29">
        <v>37.4</v>
      </c>
      <c r="Q14" s="30">
        <f t="shared" si="4"/>
        <v>163.22404870624047</v>
      </c>
      <c r="R14" s="30">
        <f t="shared" si="6"/>
        <v>5059.9455098934541</v>
      </c>
      <c r="S14" s="72">
        <f t="shared" si="5"/>
        <v>0.58760657534246574</v>
      </c>
      <c r="T14" s="87">
        <f t="shared" si="0"/>
        <v>18.215803835616438</v>
      </c>
      <c r="U14" s="79">
        <f>S14*Teplárna!$J$8</f>
        <v>327.18874285589044</v>
      </c>
      <c r="V14" s="45">
        <f t="shared" si="1"/>
        <v>10142.851028532603</v>
      </c>
      <c r="W14" s="30">
        <f t="shared" si="2"/>
        <v>12466.911921972604</v>
      </c>
      <c r="X14" s="49">
        <f t="shared" si="3"/>
        <v>2324.0608934400007</v>
      </c>
      <c r="AD14">
        <f t="shared" si="7"/>
        <v>9</v>
      </c>
      <c r="AE14" s="2">
        <f t="shared" si="8"/>
        <v>161839.99642972526</v>
      </c>
      <c r="AG14">
        <f t="shared" si="9"/>
        <v>263.62</v>
      </c>
    </row>
    <row r="15" spans="1:34" x14ac:dyDescent="0.2">
      <c r="C15" s="223" t="s">
        <v>66</v>
      </c>
      <c r="D15" s="216">
        <v>97230</v>
      </c>
      <c r="E15" s="222" t="s">
        <v>60</v>
      </c>
      <c r="F15" t="s">
        <v>160</v>
      </c>
      <c r="O15" s="35" t="s">
        <v>36</v>
      </c>
      <c r="P15" s="29">
        <v>17.2</v>
      </c>
      <c r="Q15" s="30">
        <f t="shared" si="4"/>
        <v>183.42404870624048</v>
      </c>
      <c r="R15" s="30">
        <f t="shared" si="6"/>
        <v>5502.7214611872141</v>
      </c>
      <c r="S15" s="72">
        <f t="shared" si="5"/>
        <v>0.66032657534246575</v>
      </c>
      <c r="T15" s="87">
        <f t="shared" si="0"/>
        <v>19.809797260273971</v>
      </c>
      <c r="U15" s="79">
        <f>S15*Teplárna!$J$8</f>
        <v>367.68040237589042</v>
      </c>
      <c r="V15" s="45">
        <f t="shared" si="1"/>
        <v>11030.412071276713</v>
      </c>
      <c r="W15" s="30">
        <f t="shared" si="2"/>
        <v>12064.753472876713</v>
      </c>
      <c r="X15" s="49">
        <f t="shared" si="3"/>
        <v>1034.3414016000006</v>
      </c>
      <c r="AD15">
        <f t="shared" si="7"/>
        <v>10</v>
      </c>
      <c r="AE15" s="2">
        <f t="shared" si="8"/>
        <v>292197.52357624064</v>
      </c>
      <c r="AG15">
        <f t="shared" si="9"/>
        <v>263.62</v>
      </c>
    </row>
    <row r="16" spans="1:34" x14ac:dyDescent="0.2">
      <c r="C16" s="223" t="s">
        <v>162</v>
      </c>
      <c r="D16" s="216">
        <v>12100</v>
      </c>
      <c r="E16" s="222" t="s">
        <v>60</v>
      </c>
      <c r="O16" s="144"/>
      <c r="P16" s="194"/>
      <c r="Q16" s="195"/>
      <c r="R16" s="195"/>
      <c r="S16" s="196"/>
      <c r="T16" s="197"/>
      <c r="U16" s="198"/>
      <c r="V16" s="199"/>
      <c r="W16" s="195"/>
      <c r="X16" s="200"/>
      <c r="AE16" s="2">
        <f t="shared" si="8"/>
        <v>175445.21517218967</v>
      </c>
    </row>
    <row r="17" spans="2:33" ht="17" thickBot="1" x14ac:dyDescent="0.25">
      <c r="C17" s="223" t="s">
        <v>121</v>
      </c>
      <c r="D17" s="214">
        <v>46305</v>
      </c>
      <c r="E17" s="222" t="s">
        <v>60</v>
      </c>
      <c r="F17" t="s">
        <v>156</v>
      </c>
      <c r="G17" t="s">
        <v>161</v>
      </c>
      <c r="O17" s="55" t="s">
        <v>37</v>
      </c>
      <c r="P17" s="57">
        <v>13.4</v>
      </c>
      <c r="Q17" s="76">
        <f t="shared" si="4"/>
        <v>187.22404870624047</v>
      </c>
      <c r="R17" s="76">
        <f t="shared" si="6"/>
        <v>5803.9455098934532</v>
      </c>
      <c r="S17" s="77">
        <f t="shared" si="5"/>
        <v>0.67400657534246566</v>
      </c>
      <c r="T17" s="88">
        <f t="shared" ref="T17" si="10">S17*AA35</f>
        <v>20.894203835616434</v>
      </c>
      <c r="U17" s="90">
        <f>S17*Teplárna!$J$8</f>
        <v>375.29764525589036</v>
      </c>
      <c r="V17" s="56">
        <f t="shared" ref="V17" si="11">U17*AA35</f>
        <v>11634.227002932601</v>
      </c>
      <c r="W17" s="76">
        <f t="shared" ref="W17" si="12">S46</f>
        <v>12466.911921972604</v>
      </c>
      <c r="X17" s="58">
        <f t="shared" si="3"/>
        <v>832.68491904000257</v>
      </c>
      <c r="AD17">
        <f>+AD15+1</f>
        <v>11</v>
      </c>
      <c r="AE17" s="2">
        <f t="shared" si="8"/>
        <v>182682.98593009269</v>
      </c>
      <c r="AG17">
        <f>+AG15</f>
        <v>263.62</v>
      </c>
    </row>
    <row r="18" spans="2:33" ht="18" thickTop="1" thickBot="1" x14ac:dyDescent="0.25">
      <c r="C18" s="219" t="s">
        <v>67</v>
      </c>
      <c r="D18" s="214"/>
      <c r="E18" s="222"/>
      <c r="O18" s="73" t="s">
        <v>93</v>
      </c>
      <c r="P18" s="74"/>
      <c r="Q18" s="74"/>
      <c r="R18" s="75">
        <f>SUM(R5:R17)</f>
        <v>56021.87777777778</v>
      </c>
      <c r="S18" s="74"/>
      <c r="T18" s="92">
        <f>SUM(T5:T17)</f>
        <v>201.67875999999998</v>
      </c>
      <c r="U18" s="91"/>
      <c r="V18" s="53">
        <f>SUM(V5:V17)</f>
        <v>112297.96042816</v>
      </c>
      <c r="W18" s="89">
        <f>SUM(W5:W17)</f>
        <v>146787.83392</v>
      </c>
      <c r="X18" s="54">
        <f>W18+W19-V18</f>
        <v>34516.333491839992</v>
      </c>
      <c r="AD18">
        <f t="shared" si="7"/>
        <v>12</v>
      </c>
      <c r="AE18" s="2">
        <f t="shared" si="8"/>
        <v>190227.2522763524</v>
      </c>
      <c r="AG18">
        <f t="shared" si="9"/>
        <v>263.62</v>
      </c>
    </row>
    <row r="19" spans="2:33" x14ac:dyDescent="0.2">
      <c r="B19" s="20" t="s">
        <v>58</v>
      </c>
      <c r="C19" s="223" t="s">
        <v>68</v>
      </c>
      <c r="D19" s="216">
        <f>H19*J19</f>
        <v>43452</v>
      </c>
      <c r="E19" s="222" t="s">
        <v>60</v>
      </c>
      <c r="F19" t="s">
        <v>123</v>
      </c>
      <c r="G19" t="s">
        <v>135</v>
      </c>
      <c r="H19">
        <v>21726</v>
      </c>
      <c r="I19" t="s">
        <v>60</v>
      </c>
      <c r="J19">
        <v>2</v>
      </c>
      <c r="K19" t="s">
        <v>155</v>
      </c>
      <c r="N19" s="114"/>
      <c r="O19" s="19"/>
      <c r="T19" s="59"/>
      <c r="W19" s="18">
        <v>26.46</v>
      </c>
      <c r="AD19">
        <f t="shared" si="7"/>
        <v>13</v>
      </c>
      <c r="AE19" s="2">
        <f t="shared" si="8"/>
        <v>198090.95342482472</v>
      </c>
      <c r="AG19">
        <f t="shared" si="9"/>
        <v>263.62</v>
      </c>
    </row>
    <row r="20" spans="2:33" x14ac:dyDescent="0.2">
      <c r="B20" s="20" t="s">
        <v>58</v>
      </c>
      <c r="C20" s="223" t="s">
        <v>134</v>
      </c>
      <c r="D20" s="214">
        <f>'Teplárna + FVE 10 kWp'!G20*I20</f>
        <v>80244</v>
      </c>
      <c r="E20" s="222" t="s">
        <v>60</v>
      </c>
      <c r="F20" t="s">
        <v>133</v>
      </c>
      <c r="G20">
        <v>8916</v>
      </c>
      <c r="H20" t="s">
        <v>60</v>
      </c>
      <c r="I20">
        <v>9</v>
      </c>
      <c r="J20" t="s">
        <v>155</v>
      </c>
      <c r="AD20">
        <f t="shared" si="7"/>
        <v>14</v>
      </c>
      <c r="AE20" s="2">
        <f t="shared" si="8"/>
        <v>206287.57333353272</v>
      </c>
      <c r="AG20">
        <f t="shared" si="9"/>
        <v>263.62</v>
      </c>
    </row>
    <row r="21" spans="2:33" x14ac:dyDescent="0.2">
      <c r="C21" s="219" t="s">
        <v>130</v>
      </c>
      <c r="D21" s="217">
        <f>SUM(D11:D20)</f>
        <v>706947</v>
      </c>
      <c r="E21" s="226" t="s">
        <v>5</v>
      </c>
      <c r="AD21">
        <f t="shared" si="7"/>
        <v>15</v>
      </c>
      <c r="AE21" s="2">
        <f t="shared" si="8"/>
        <v>214831.16358145769</v>
      </c>
      <c r="AG21">
        <f t="shared" si="9"/>
        <v>263.62</v>
      </c>
    </row>
    <row r="22" spans="2:33" x14ac:dyDescent="0.2">
      <c r="C22" s="223" t="s">
        <v>71</v>
      </c>
      <c r="D22" s="216">
        <f>H10+H9</f>
        <v>5116.42</v>
      </c>
      <c r="E22" s="222" t="s">
        <v>5</v>
      </c>
      <c r="AD22">
        <f t="shared" si="7"/>
        <v>16</v>
      </c>
      <c r="AE22" s="2">
        <f t="shared" si="8"/>
        <v>223736.36720388292</v>
      </c>
      <c r="AG22">
        <f t="shared" si="9"/>
        <v>263.62</v>
      </c>
    </row>
    <row r="23" spans="2:33" x14ac:dyDescent="0.2">
      <c r="C23" s="227"/>
      <c r="D23" s="218"/>
      <c r="E23" s="222"/>
      <c r="AD23">
        <f t="shared" si="7"/>
        <v>17</v>
      </c>
      <c r="AE23" s="2">
        <f t="shared" si="8"/>
        <v>233018.44352637179</v>
      </c>
      <c r="AG23">
        <f t="shared" si="9"/>
        <v>263.62</v>
      </c>
    </row>
    <row r="24" spans="2:33" ht="17" thickBot="1" x14ac:dyDescent="0.25">
      <c r="C24" s="228" t="s">
        <v>69</v>
      </c>
      <c r="D24" s="229">
        <v>20</v>
      </c>
      <c r="E24" s="230" t="s">
        <v>70</v>
      </c>
      <c r="AA24">
        <v>31</v>
      </c>
      <c r="AD24">
        <f t="shared" si="7"/>
        <v>18</v>
      </c>
      <c r="AE24" s="2">
        <f t="shared" si="8"/>
        <v>242693.29403913365</v>
      </c>
      <c r="AG24">
        <f t="shared" si="9"/>
        <v>263.62</v>
      </c>
    </row>
    <row r="25" spans="2:33" ht="17" thickBot="1" x14ac:dyDescent="0.25">
      <c r="AA25">
        <v>28</v>
      </c>
      <c r="AD25">
        <f t="shared" si="7"/>
        <v>19</v>
      </c>
      <c r="AE25" s="2">
        <f t="shared" si="8"/>
        <v>252777.48935527424</v>
      </c>
      <c r="AG25">
        <f t="shared" si="9"/>
        <v>263.62</v>
      </c>
    </row>
    <row r="26" spans="2:33" ht="20" thickBot="1" x14ac:dyDescent="0.3">
      <c r="B26" s="251" t="s">
        <v>119</v>
      </c>
      <c r="C26" s="252"/>
      <c r="D26" s="252"/>
      <c r="E26" s="252"/>
      <c r="F26" s="252"/>
      <c r="G26" s="252"/>
      <c r="H26" s="252"/>
      <c r="I26" s="252"/>
      <c r="J26" s="253"/>
      <c r="AA26">
        <v>31</v>
      </c>
      <c r="AD26">
        <f t="shared" si="7"/>
        <v>20</v>
      </c>
      <c r="AE26" s="2">
        <f t="shared" si="8"/>
        <v>0</v>
      </c>
      <c r="AG26">
        <f t="shared" si="9"/>
        <v>263.62</v>
      </c>
    </row>
    <row r="27" spans="2:33" ht="17" thickBot="1" x14ac:dyDescent="0.25">
      <c r="B27" s="106" t="s">
        <v>0</v>
      </c>
      <c r="C27" s="107" t="s">
        <v>104</v>
      </c>
      <c r="D27" s="107" t="s">
        <v>21</v>
      </c>
      <c r="E27" s="107" t="s">
        <v>98</v>
      </c>
      <c r="F27" s="108" t="s">
        <v>51</v>
      </c>
      <c r="G27" s="109" t="s">
        <v>48</v>
      </c>
      <c r="H27" s="110" t="s">
        <v>97</v>
      </c>
      <c r="I27" s="108" t="s">
        <v>49</v>
      </c>
      <c r="J27" s="111" t="s">
        <v>96</v>
      </c>
      <c r="K27" s="152"/>
      <c r="L27" s="152"/>
      <c r="AA27">
        <v>30</v>
      </c>
    </row>
    <row r="28" spans="2:33" x14ac:dyDescent="0.2">
      <c r="B28" s="100">
        <v>0</v>
      </c>
      <c r="C28" s="101">
        <f>Teplárna!J7</f>
        <v>535.4</v>
      </c>
      <c r="D28" s="101">
        <f>Teplárna!C7</f>
        <v>141142.14799999999</v>
      </c>
      <c r="E28" s="101">
        <v>0</v>
      </c>
      <c r="F28" s="102">
        <f>E28</f>
        <v>0</v>
      </c>
      <c r="G28" s="103">
        <v>0</v>
      </c>
      <c r="H28" s="104">
        <f>$D$2</f>
        <v>73227.777777777766</v>
      </c>
      <c r="I28" s="102">
        <f>($G$28*3.6)/1000</f>
        <v>0</v>
      </c>
      <c r="J28" s="105">
        <f>($H$28*3.6)/1000</f>
        <v>263.61999999999995</v>
      </c>
      <c r="K28" s="153"/>
      <c r="L28" s="154"/>
      <c r="AA28">
        <v>31</v>
      </c>
    </row>
    <row r="29" spans="2:33" x14ac:dyDescent="0.2">
      <c r="B29" s="47">
        <v>1</v>
      </c>
      <c r="C29" s="31">
        <f>Teplárna!J8</f>
        <v>556.81600000000003</v>
      </c>
      <c r="D29" s="31">
        <f>Teplárna!K8-'Teplárna + FVE 18 kWp'!E29</f>
        <v>117426.2072</v>
      </c>
      <c r="E29" s="31">
        <f t="shared" ref="E29:E37" si="13">(I29)*C29-$D$22</f>
        <v>29361.626720000007</v>
      </c>
      <c r="F29" s="66">
        <f t="shared" ref="F29:F48" si="14">F28+E29</f>
        <v>29361.626720000007</v>
      </c>
      <c r="G29" s="68">
        <f>D4</f>
        <v>17200</v>
      </c>
      <c r="H29" s="41">
        <f t="shared" ref="H29:H48" si="15">$D$2-G29</f>
        <v>56027.777777777766</v>
      </c>
      <c r="I29" s="66">
        <f t="shared" ref="I29:I48" si="16">(G29*3.6)/1000</f>
        <v>61.92</v>
      </c>
      <c r="J29" s="36">
        <f t="shared" ref="J29:J48" si="17">(H29*3.6)/1000</f>
        <v>201.69999999999996</v>
      </c>
      <c r="K29" s="153"/>
      <c r="L29" s="154"/>
      <c r="AA29">
        <v>30</v>
      </c>
    </row>
    <row r="30" spans="2:33" ht="20" thickBot="1" x14ac:dyDescent="0.3">
      <c r="B30" s="47">
        <v>2</v>
      </c>
      <c r="C30" s="31">
        <f>Teplárna!J9</f>
        <v>579.08864000000005</v>
      </c>
      <c r="D30" s="31">
        <f>Teplárna!K9-'Teplárna + FVE 18 kWp'!E30</f>
        <v>122205.45603671041</v>
      </c>
      <c r="E30" s="31">
        <f t="shared" si="13"/>
        <v>30453.891240089608</v>
      </c>
      <c r="F30" s="66">
        <f t="shared" si="14"/>
        <v>59815.517960089615</v>
      </c>
      <c r="G30" s="68">
        <f t="shared" ref="G30:G48" si="18">$G$29*E68</f>
        <v>17062.400000000001</v>
      </c>
      <c r="H30" s="41">
        <f t="shared" si="15"/>
        <v>56165.377777777765</v>
      </c>
      <c r="I30" s="66">
        <f t="shared" si="16"/>
        <v>61.424640000000004</v>
      </c>
      <c r="J30" s="36">
        <f t="shared" si="17"/>
        <v>202.19535999999997</v>
      </c>
      <c r="K30" s="153"/>
      <c r="L30" s="154"/>
      <c r="R30" s="176"/>
      <c r="AA30">
        <v>31</v>
      </c>
    </row>
    <row r="31" spans="2:33" ht="20" thickBot="1" x14ac:dyDescent="0.3">
      <c r="B31" s="47">
        <v>3</v>
      </c>
      <c r="C31" s="31">
        <f>Teplárna!J10</f>
        <v>602.25218560000008</v>
      </c>
      <c r="D31" s="31">
        <f>Teplárna!K10-'Teplárna + FVE 18 kWp'!E31</f>
        <v>127187.34912083764</v>
      </c>
      <c r="E31" s="31">
        <f t="shared" si="13"/>
        <v>31578.372047034376</v>
      </c>
      <c r="F31" s="66">
        <f t="shared" si="14"/>
        <v>91393.890007123991</v>
      </c>
      <c r="G31" s="68">
        <f t="shared" si="18"/>
        <v>16924.8</v>
      </c>
      <c r="H31" s="41">
        <f t="shared" si="15"/>
        <v>56302.977777777764</v>
      </c>
      <c r="I31" s="66">
        <f t="shared" si="16"/>
        <v>60.929279999999999</v>
      </c>
      <c r="J31" s="36">
        <f t="shared" si="17"/>
        <v>202.69071999999994</v>
      </c>
      <c r="K31" s="153"/>
      <c r="L31" s="154"/>
      <c r="P31" s="243" t="s">
        <v>38</v>
      </c>
      <c r="Q31" s="244"/>
      <c r="R31" s="244"/>
      <c r="S31" s="245"/>
      <c r="U31" s="60"/>
      <c r="V31" s="60"/>
      <c r="AA31">
        <v>31</v>
      </c>
    </row>
    <row r="32" spans="2:33" ht="17" thickBot="1" x14ac:dyDescent="0.25">
      <c r="B32" s="47">
        <v>4</v>
      </c>
      <c r="C32" s="31">
        <f>Teplárna!J11</f>
        <v>626.34227302400006</v>
      </c>
      <c r="D32" s="31">
        <f>Teplárna!K11-'Teplárna + FVE 18 kWp'!E32</f>
        <v>132380.45119403632</v>
      </c>
      <c r="E32" s="31">
        <f t="shared" si="13"/>
        <v>32735.898820550581</v>
      </c>
      <c r="F32" s="66">
        <f t="shared" si="14"/>
        <v>124129.78882767458</v>
      </c>
      <c r="G32" s="68">
        <f t="shared" si="18"/>
        <v>16787.2</v>
      </c>
      <c r="H32" s="41">
        <f t="shared" si="15"/>
        <v>56440.577777777769</v>
      </c>
      <c r="I32" s="66">
        <f t="shared" si="16"/>
        <v>60.433920000000008</v>
      </c>
      <c r="J32" s="36">
        <f t="shared" si="17"/>
        <v>203.18607999999998</v>
      </c>
      <c r="K32" s="153"/>
      <c r="L32" s="154"/>
      <c r="P32" s="246" t="s">
        <v>25</v>
      </c>
      <c r="Q32" s="98" t="s">
        <v>138</v>
      </c>
      <c r="R32" s="99" t="s">
        <v>22</v>
      </c>
      <c r="S32" s="120" t="s">
        <v>53</v>
      </c>
      <c r="U32" s="7"/>
      <c r="V32" s="119"/>
      <c r="W32" s="119"/>
      <c r="AA32">
        <v>30</v>
      </c>
    </row>
    <row r="33" spans="2:27" ht="17" thickBot="1" x14ac:dyDescent="0.25">
      <c r="B33" s="47">
        <v>5</v>
      </c>
      <c r="C33" s="31">
        <f>Teplárna!J12</f>
        <v>651.39596394496016</v>
      </c>
      <c r="D33" s="31">
        <f>Teplárna!K12-'Teplárna + FVE 18 kWp'!E33</f>
        <v>137793.68794649755</v>
      </c>
      <c r="E33" s="31">
        <f t="shared" si="13"/>
        <v>33927.31606867283</v>
      </c>
      <c r="F33" s="66">
        <f t="shared" si="14"/>
        <v>158057.10489634742</v>
      </c>
      <c r="G33" s="68">
        <f t="shared" si="18"/>
        <v>16649.599999999999</v>
      </c>
      <c r="H33" s="41">
        <f t="shared" si="15"/>
        <v>56578.177777777768</v>
      </c>
      <c r="I33" s="66">
        <f t="shared" si="16"/>
        <v>59.938559999999995</v>
      </c>
      <c r="J33" s="36">
        <f t="shared" si="17"/>
        <v>203.68143999999998</v>
      </c>
      <c r="K33" s="153"/>
      <c r="L33" s="154"/>
      <c r="P33" s="247"/>
      <c r="Q33" s="184">
        <f>F2</f>
        <v>200.62404870624047</v>
      </c>
      <c r="R33" s="185">
        <f>Teplárna!H35</f>
        <v>386.69081643835614</v>
      </c>
      <c r="S33" s="186">
        <f>Teplárna!H39</f>
        <v>402.15844909589043</v>
      </c>
      <c r="U33" s="7"/>
      <c r="V33" s="6"/>
      <c r="W33" s="63"/>
      <c r="AA33">
        <v>31</v>
      </c>
    </row>
    <row r="34" spans="2:27" ht="17" thickBot="1" x14ac:dyDescent="0.25">
      <c r="B34" s="47">
        <v>6</v>
      </c>
      <c r="C34" s="31">
        <f>Teplárna!J13</f>
        <v>677.4518025027586</v>
      </c>
      <c r="D34" s="31">
        <f>Teplárna!K13-'Teplárna + FVE 18 kWp'!E34</f>
        <v>143436.36118924525</v>
      </c>
      <c r="E34" s="31">
        <f t="shared" si="13"/>
        <v>35153.482986531984</v>
      </c>
      <c r="F34" s="66">
        <f t="shared" si="14"/>
        <v>193210.58788287939</v>
      </c>
      <c r="G34" s="68">
        <f t="shared" si="18"/>
        <v>16512</v>
      </c>
      <c r="H34" s="41">
        <f t="shared" si="15"/>
        <v>56715.777777777766</v>
      </c>
      <c r="I34" s="66">
        <f t="shared" si="16"/>
        <v>59.443200000000004</v>
      </c>
      <c r="J34" s="36">
        <f t="shared" si="17"/>
        <v>204.17679999999996</v>
      </c>
      <c r="K34" s="153"/>
      <c r="L34" s="154"/>
      <c r="P34" s="248"/>
      <c r="Q34" s="98" t="s">
        <v>137</v>
      </c>
      <c r="R34" s="99" t="s">
        <v>54</v>
      </c>
      <c r="S34" s="120" t="s">
        <v>55</v>
      </c>
      <c r="U34" s="63"/>
      <c r="V34" s="63"/>
      <c r="W34" s="63"/>
      <c r="AA34">
        <v>30</v>
      </c>
    </row>
    <row r="35" spans="2:27" x14ac:dyDescent="0.2">
      <c r="B35" s="47">
        <v>7</v>
      </c>
      <c r="C35" s="31">
        <f>Teplárna!J14</f>
        <v>704.54987460286884</v>
      </c>
      <c r="D35" s="31">
        <f>Teplárna!K14-'Teplárna + FVE 18 kWp'!E35</f>
        <v>149318.16466269831</v>
      </c>
      <c r="E35" s="31">
        <f t="shared" si="13"/>
        <v>36415.273280109977</v>
      </c>
      <c r="F35" s="66">
        <f t="shared" si="14"/>
        <v>229625.86116298937</v>
      </c>
      <c r="G35" s="68">
        <f t="shared" si="18"/>
        <v>16374.4</v>
      </c>
      <c r="H35" s="41">
        <f t="shared" si="15"/>
        <v>56853.377777777765</v>
      </c>
      <c r="I35" s="66">
        <f t="shared" si="16"/>
        <v>58.947839999999999</v>
      </c>
      <c r="J35" s="36">
        <f t="shared" si="17"/>
        <v>204.67215999999993</v>
      </c>
      <c r="K35" s="153"/>
      <c r="L35" s="154"/>
      <c r="P35" s="95" t="s">
        <v>26</v>
      </c>
      <c r="Q35" s="93">
        <f t="shared" ref="Q35:Q46" si="19">$Q$33*AA24</f>
        <v>6219.3455098934546</v>
      </c>
      <c r="R35" s="85">
        <f t="shared" ref="R35:R46" si="20">$R$33*AA24</f>
        <v>11987.41530958904</v>
      </c>
      <c r="S35" s="181">
        <f t="shared" ref="S35:S46" si="21">$S$33*AA24</f>
        <v>12466.911921972604</v>
      </c>
      <c r="U35" s="63"/>
      <c r="V35" s="63"/>
      <c r="W35" s="63"/>
      <c r="AA35">
        <v>31</v>
      </c>
    </row>
    <row r="36" spans="2:27" x14ac:dyDescent="0.2">
      <c r="B36" s="47">
        <v>8</v>
      </c>
      <c r="C36" s="31">
        <f>Teplárna!J15</f>
        <v>732.73186958698375</v>
      </c>
      <c r="D36" s="31">
        <f>Teplárna!K15-'Teplárna + FVE 18 kWp'!E36</f>
        <v>155449.20050812489</v>
      </c>
      <c r="E36" s="31">
        <f t="shared" si="13"/>
        <v>37713.574952395771</v>
      </c>
      <c r="F36" s="66">
        <f t="shared" si="14"/>
        <v>267339.43611538515</v>
      </c>
      <c r="G36" s="68">
        <f t="shared" si="18"/>
        <v>16236.8</v>
      </c>
      <c r="H36" s="41">
        <f t="shared" si="15"/>
        <v>56990.977777777764</v>
      </c>
      <c r="I36" s="66">
        <f t="shared" si="16"/>
        <v>58.452479999999994</v>
      </c>
      <c r="J36" s="36">
        <f t="shared" si="17"/>
        <v>205.16751999999997</v>
      </c>
      <c r="K36" s="153"/>
      <c r="L36" s="154"/>
      <c r="P36" s="35" t="s">
        <v>27</v>
      </c>
      <c r="Q36" s="45">
        <f t="shared" si="19"/>
        <v>5617.4733637747331</v>
      </c>
      <c r="R36" s="30">
        <f t="shared" si="20"/>
        <v>10827.342860273971</v>
      </c>
      <c r="S36" s="177">
        <f t="shared" si="21"/>
        <v>11260.436574684933</v>
      </c>
      <c r="U36" s="63"/>
      <c r="V36" s="63"/>
      <c r="W36" s="63"/>
      <c r="AA36">
        <f>SUM(AA24:AA35)</f>
        <v>365</v>
      </c>
    </row>
    <row r="37" spans="2:27" x14ac:dyDescent="0.2">
      <c r="B37" s="47">
        <v>9</v>
      </c>
      <c r="C37" s="31">
        <f>Teplárna!J16</f>
        <v>762.04114437046314</v>
      </c>
      <c r="D37" s="31">
        <f>Teplárna!K16-'Teplárna + FVE 18 kWp'!E37</f>
        <v>161839.99642972526</v>
      </c>
      <c r="E37" s="31">
        <f t="shared" si="13"/>
        <v>39049.290049216259</v>
      </c>
      <c r="F37" s="66">
        <f t="shared" si="14"/>
        <v>306388.72616460139</v>
      </c>
      <c r="G37" s="68">
        <f t="shared" si="18"/>
        <v>16099.199999999999</v>
      </c>
      <c r="H37" s="41">
        <f t="shared" si="15"/>
        <v>57128.577777777769</v>
      </c>
      <c r="I37" s="66">
        <f t="shared" si="16"/>
        <v>57.957119999999996</v>
      </c>
      <c r="J37" s="36">
        <f t="shared" si="17"/>
        <v>205.66287999999997</v>
      </c>
      <c r="K37" s="153"/>
      <c r="L37" s="154"/>
      <c r="P37" s="35" t="s">
        <v>28</v>
      </c>
      <c r="Q37" s="45">
        <f t="shared" si="19"/>
        <v>6219.3455098934546</v>
      </c>
      <c r="R37" s="30">
        <f t="shared" si="20"/>
        <v>11987.41530958904</v>
      </c>
      <c r="S37" s="177">
        <f t="shared" si="21"/>
        <v>12466.911921972604</v>
      </c>
      <c r="U37" s="63"/>
      <c r="V37" s="63"/>
      <c r="W37" s="63"/>
    </row>
    <row r="38" spans="2:27" x14ac:dyDescent="0.2">
      <c r="B38" s="47">
        <v>10</v>
      </c>
      <c r="C38" s="31">
        <f>Teplárna!J17</f>
        <v>792.52279014528165</v>
      </c>
      <c r="D38" s="189">
        <f>Teplárna!K17-'Teplárna + FVE 18 kWp'!E38</f>
        <v>292197.52357624064</v>
      </c>
      <c r="E38" s="31">
        <f>(I38)*C38-$D$22-(+'Teplárna + FVE 18 kWp'!D19+'Teplárna + FVE 18 kWp'!D20)</f>
        <v>-83272.66563814145</v>
      </c>
      <c r="F38" s="66">
        <f t="shared" si="14"/>
        <v>223116.06052645994</v>
      </c>
      <c r="G38" s="68">
        <f t="shared" si="18"/>
        <v>15961.599999999999</v>
      </c>
      <c r="H38" s="41">
        <f t="shared" si="15"/>
        <v>57266.177777777768</v>
      </c>
      <c r="I38" s="66">
        <f t="shared" si="16"/>
        <v>57.461759999999998</v>
      </c>
      <c r="J38" s="36">
        <f t="shared" si="17"/>
        <v>206.15823999999995</v>
      </c>
      <c r="K38" s="153"/>
      <c r="L38" s="154"/>
      <c r="P38" s="35" t="s">
        <v>29</v>
      </c>
      <c r="Q38" s="45">
        <f t="shared" si="19"/>
        <v>6018.7214611872141</v>
      </c>
      <c r="R38" s="30">
        <f t="shared" si="20"/>
        <v>11600.724493150685</v>
      </c>
      <c r="S38" s="177">
        <f t="shared" si="21"/>
        <v>12064.753472876713</v>
      </c>
      <c r="U38" s="63"/>
      <c r="V38" s="63"/>
      <c r="W38" s="63"/>
    </row>
    <row r="39" spans="2:27" x14ac:dyDescent="0.2">
      <c r="B39" s="47">
        <v>11</v>
      </c>
      <c r="C39" s="31">
        <f>Teplárna!J18</f>
        <v>824.2237017510929</v>
      </c>
      <c r="D39" s="31">
        <f>Teplárna!K18-'Teplárna + FVE 18 kWp'!E39</f>
        <v>175445.21517218967</v>
      </c>
      <c r="E39" s="31">
        <f>(I39)*C39-$D$22</f>
        <v>41836.637083433452</v>
      </c>
      <c r="F39" s="66">
        <f t="shared" si="14"/>
        <v>264952.6976098934</v>
      </c>
      <c r="G39" s="68">
        <f t="shared" si="18"/>
        <v>15823.999999999998</v>
      </c>
      <c r="H39" s="41">
        <f t="shared" si="15"/>
        <v>57403.777777777766</v>
      </c>
      <c r="I39" s="66">
        <f t="shared" si="16"/>
        <v>56.966399999999993</v>
      </c>
      <c r="J39" s="36">
        <f t="shared" si="17"/>
        <v>206.65359999999998</v>
      </c>
      <c r="K39" s="153"/>
      <c r="L39" s="154"/>
      <c r="P39" s="35" t="s">
        <v>30</v>
      </c>
      <c r="Q39" s="45">
        <f t="shared" si="19"/>
        <v>6219.3455098934546</v>
      </c>
      <c r="R39" s="30">
        <f t="shared" si="20"/>
        <v>11987.41530958904</v>
      </c>
      <c r="S39" s="177">
        <f t="shared" si="21"/>
        <v>12466.911921972604</v>
      </c>
      <c r="U39" s="63"/>
      <c r="V39" s="63"/>
      <c r="W39" s="63"/>
    </row>
    <row r="40" spans="2:27" x14ac:dyDescent="0.2">
      <c r="B40" s="47">
        <v>12</v>
      </c>
      <c r="C40" s="31">
        <f>Teplárna!J19</f>
        <v>857.1926498211368</v>
      </c>
      <c r="D40" s="31">
        <f>Teplárna!K19-'Teplárna + FVE 18 kWp'!E40</f>
        <v>182682.98593009269</v>
      </c>
      <c r="E40" s="31">
        <f>(I40)*C40-$D$22</f>
        <v>43290.140415755406</v>
      </c>
      <c r="F40" s="66">
        <f t="shared" si="14"/>
        <v>308242.83802564879</v>
      </c>
      <c r="G40" s="68">
        <f t="shared" si="18"/>
        <v>15686.399999999998</v>
      </c>
      <c r="H40" s="41">
        <f t="shared" si="15"/>
        <v>57541.377777777772</v>
      </c>
      <c r="I40" s="66">
        <f t="shared" si="16"/>
        <v>56.471039999999995</v>
      </c>
      <c r="J40" s="36">
        <f t="shared" si="17"/>
        <v>207.14895999999999</v>
      </c>
      <c r="K40" s="153"/>
      <c r="L40" s="154"/>
      <c r="P40" s="35" t="s">
        <v>31</v>
      </c>
      <c r="Q40" s="45">
        <f t="shared" si="19"/>
        <v>6018.7214611872141</v>
      </c>
      <c r="R40" s="30">
        <f t="shared" si="20"/>
        <v>11600.724493150685</v>
      </c>
      <c r="S40" s="177">
        <f t="shared" si="21"/>
        <v>12064.753472876713</v>
      </c>
      <c r="U40" s="63"/>
      <c r="V40" s="63"/>
      <c r="W40" s="63"/>
    </row>
    <row r="41" spans="2:27" x14ac:dyDescent="0.2">
      <c r="B41" s="47">
        <v>13</v>
      </c>
      <c r="C41" s="31">
        <f>Teplárna!J20</f>
        <v>891.48035581398221</v>
      </c>
      <c r="D41" s="31">
        <f>Teplárna!K20-'Teplárna + FVE 18 kWp'!E41</f>
        <v>190227.2522763524</v>
      </c>
      <c r="E41" s="31">
        <f>(I41)*C41-$D$22</f>
        <v>44784.799123329605</v>
      </c>
      <c r="F41" s="66">
        <f t="shared" si="14"/>
        <v>353027.63714897842</v>
      </c>
      <c r="G41" s="68">
        <f t="shared" si="18"/>
        <v>15548.8</v>
      </c>
      <c r="H41" s="41">
        <f t="shared" si="15"/>
        <v>57678.977777777764</v>
      </c>
      <c r="I41" s="66">
        <f t="shared" si="16"/>
        <v>55.975679999999997</v>
      </c>
      <c r="J41" s="36">
        <f t="shared" si="17"/>
        <v>207.64431999999994</v>
      </c>
      <c r="K41" s="153"/>
      <c r="L41" s="154"/>
      <c r="P41" s="35" t="s">
        <v>32</v>
      </c>
      <c r="Q41" s="45">
        <f t="shared" si="19"/>
        <v>6219.3455098934546</v>
      </c>
      <c r="R41" s="30">
        <f t="shared" si="20"/>
        <v>11987.41530958904</v>
      </c>
      <c r="S41" s="177">
        <f t="shared" si="21"/>
        <v>12466.911921972604</v>
      </c>
      <c r="U41" s="63"/>
      <c r="V41" s="63"/>
      <c r="W41" s="63"/>
    </row>
    <row r="42" spans="2:27" x14ac:dyDescent="0.2">
      <c r="B42" s="47">
        <v>14</v>
      </c>
      <c r="C42" s="31">
        <f>Teplárna!J21</f>
        <v>927.13957004654151</v>
      </c>
      <c r="D42" s="31">
        <f>Teplárna!K21-'Teplárna + FVE 18 kWp'!E42</f>
        <v>198090.95342482472</v>
      </c>
      <c r="E42" s="31">
        <f t="shared" ref="E42" si="22">(I42)*C42-$D$22</f>
        <v>46321.58003084454</v>
      </c>
      <c r="F42" s="66">
        <f t="shared" si="14"/>
        <v>399349.21717982297</v>
      </c>
      <c r="G42" s="68">
        <f t="shared" si="18"/>
        <v>15411.199999999999</v>
      </c>
      <c r="H42" s="41">
        <f t="shared" si="15"/>
        <v>57816.577777777769</v>
      </c>
      <c r="I42" s="66">
        <f t="shared" si="16"/>
        <v>55.480319999999999</v>
      </c>
      <c r="J42" s="36">
        <f t="shared" si="17"/>
        <v>208.13967999999997</v>
      </c>
      <c r="K42" s="153"/>
      <c r="L42" s="154"/>
      <c r="P42" s="35" t="s">
        <v>33</v>
      </c>
      <c r="Q42" s="45">
        <f t="shared" si="19"/>
        <v>6219.3455098934546</v>
      </c>
      <c r="R42" s="30">
        <f t="shared" si="20"/>
        <v>11987.41530958904</v>
      </c>
      <c r="S42" s="177">
        <f t="shared" si="21"/>
        <v>12466.911921972604</v>
      </c>
      <c r="U42" s="63"/>
      <c r="V42" s="63"/>
      <c r="W42" s="63"/>
    </row>
    <row r="43" spans="2:27" x14ac:dyDescent="0.2">
      <c r="B43" s="47">
        <v>15</v>
      </c>
      <c r="C43" s="31">
        <f>Teplárna!J22</f>
        <v>964.22515284840313</v>
      </c>
      <c r="D43" s="31">
        <f>Teplárna!K22-'Teplárna + FVE 18 kWp'!E43</f>
        <v>206287.57333353272</v>
      </c>
      <c r="E43" s="31">
        <f t="shared" ref="E43:E48" si="23">(I43)*C43-$D$22</f>
        <v>47901.461460363338</v>
      </c>
      <c r="F43" s="66">
        <f t="shared" si="14"/>
        <v>447250.67864018632</v>
      </c>
      <c r="G43" s="68">
        <f t="shared" si="18"/>
        <v>15273.599999999999</v>
      </c>
      <c r="H43" s="41">
        <f t="shared" si="15"/>
        <v>57954.177777777768</v>
      </c>
      <c r="I43" s="66">
        <f t="shared" si="16"/>
        <v>54.984960000000001</v>
      </c>
      <c r="J43" s="36">
        <f t="shared" si="17"/>
        <v>208.63503999999998</v>
      </c>
      <c r="K43" s="153"/>
      <c r="L43" s="154"/>
      <c r="P43" s="35" t="s">
        <v>34</v>
      </c>
      <c r="Q43" s="45">
        <f t="shared" si="19"/>
        <v>6018.7214611872141</v>
      </c>
      <c r="R43" s="30">
        <f t="shared" si="20"/>
        <v>11600.724493150685</v>
      </c>
      <c r="S43" s="177">
        <f t="shared" si="21"/>
        <v>12064.753472876713</v>
      </c>
      <c r="U43" s="63"/>
      <c r="V43" s="63"/>
      <c r="W43" s="63"/>
    </row>
    <row r="44" spans="2:27" x14ac:dyDescent="0.2">
      <c r="B44" s="47">
        <v>16</v>
      </c>
      <c r="C44" s="31">
        <f>Teplárna!J23</f>
        <v>1002.7941589623395</v>
      </c>
      <c r="D44" s="31">
        <f>Teplárna!K23-'Teplárna + FVE 18 kWp'!E44</f>
        <v>214831.16358145769</v>
      </c>
      <c r="E44" s="31">
        <f t="shared" si="23"/>
        <v>49525.432604194284</v>
      </c>
      <c r="F44" s="66">
        <f t="shared" si="14"/>
        <v>496776.11124438059</v>
      </c>
      <c r="G44" s="68">
        <f t="shared" si="18"/>
        <v>15135.999999999998</v>
      </c>
      <c r="H44" s="41">
        <f t="shared" si="15"/>
        <v>58091.777777777766</v>
      </c>
      <c r="I44" s="66">
        <f t="shared" si="16"/>
        <v>54.489599999999989</v>
      </c>
      <c r="J44" s="36">
        <f t="shared" si="17"/>
        <v>209.13039999999995</v>
      </c>
      <c r="K44" s="153"/>
      <c r="L44" s="154"/>
      <c r="P44" s="35" t="s">
        <v>35</v>
      </c>
      <c r="Q44" s="45">
        <f t="shared" si="19"/>
        <v>6219.3455098934546</v>
      </c>
      <c r="R44" s="30">
        <f t="shared" si="20"/>
        <v>11987.41530958904</v>
      </c>
      <c r="S44" s="177">
        <f t="shared" si="21"/>
        <v>12466.911921972604</v>
      </c>
      <c r="U44" s="63"/>
      <c r="V44" s="63"/>
      <c r="W44" s="63"/>
    </row>
    <row r="45" spans="2:27" x14ac:dyDescent="0.2">
      <c r="B45" s="47">
        <v>17</v>
      </c>
      <c r="C45" s="31">
        <f>Teplárna!J24</f>
        <v>1042.9059253208331</v>
      </c>
      <c r="D45" s="31">
        <f>Teplárna!K24-'Teplárna + FVE 18 kWp'!E45</f>
        <v>223736.36720388292</v>
      </c>
      <c r="E45" s="31">
        <f t="shared" si="23"/>
        <v>51194.492829195136</v>
      </c>
      <c r="F45" s="66">
        <f t="shared" si="14"/>
        <v>547970.6040735757</v>
      </c>
      <c r="G45" s="68">
        <f t="shared" si="18"/>
        <v>14998.399999999998</v>
      </c>
      <c r="H45" s="41">
        <f t="shared" si="15"/>
        <v>58229.377777777772</v>
      </c>
      <c r="I45" s="66">
        <f t="shared" si="16"/>
        <v>53.994239999999991</v>
      </c>
      <c r="J45" s="36">
        <f t="shared" si="17"/>
        <v>209.62575999999999</v>
      </c>
      <c r="K45" s="153"/>
      <c r="L45" s="154"/>
      <c r="P45" s="35" t="s">
        <v>36</v>
      </c>
      <c r="Q45" s="45">
        <f t="shared" si="19"/>
        <v>6018.7214611872141</v>
      </c>
      <c r="R45" s="30">
        <f t="shared" si="20"/>
        <v>11600.724493150685</v>
      </c>
      <c r="S45" s="177">
        <f t="shared" si="21"/>
        <v>12064.753472876713</v>
      </c>
      <c r="U45" s="63"/>
      <c r="V45" s="16"/>
      <c r="W45" s="63"/>
    </row>
    <row r="46" spans="2:27" ht="17" thickBot="1" x14ac:dyDescent="0.25">
      <c r="B46" s="47">
        <v>18</v>
      </c>
      <c r="C46" s="31">
        <f>Teplárna!J25</f>
        <v>1084.6221623336664</v>
      </c>
      <c r="D46" s="31">
        <f>Teplárna!K25-'Teplárna + FVE 18 kWp'!E46</f>
        <v>233018.44352637179</v>
      </c>
      <c r="E46" s="31">
        <f t="shared" si="23"/>
        <v>52909.650908029333</v>
      </c>
      <c r="F46" s="66">
        <f t="shared" si="14"/>
        <v>600880.25498160499</v>
      </c>
      <c r="G46" s="68">
        <f t="shared" si="18"/>
        <v>14860.799999999997</v>
      </c>
      <c r="H46" s="41">
        <f t="shared" si="15"/>
        <v>58366.977777777771</v>
      </c>
      <c r="I46" s="66">
        <f t="shared" si="16"/>
        <v>53.498879999999993</v>
      </c>
      <c r="J46" s="36">
        <f t="shared" si="17"/>
        <v>210.12111999999996</v>
      </c>
      <c r="K46" s="153"/>
      <c r="L46" s="154"/>
      <c r="P46" s="55" t="s">
        <v>37</v>
      </c>
      <c r="Q46" s="56">
        <f t="shared" si="19"/>
        <v>6219.3455098934546</v>
      </c>
      <c r="R46" s="76">
        <f t="shared" si="20"/>
        <v>11987.41530958904</v>
      </c>
      <c r="S46" s="178">
        <f t="shared" si="21"/>
        <v>12466.911921972604</v>
      </c>
      <c r="U46" s="63"/>
      <c r="V46" s="63"/>
      <c r="W46" s="63"/>
    </row>
    <row r="47" spans="2:27" ht="18" thickTop="1" thickBot="1" x14ac:dyDescent="0.25">
      <c r="B47" s="47">
        <v>19</v>
      </c>
      <c r="C47" s="31">
        <f>Teplárna!J26</f>
        <v>1128.0070488270133</v>
      </c>
      <c r="D47" s="31">
        <f>Teplárna!K26-'Teplárna + FVE 18 kWp'!E47</f>
        <v>242693.29403913365</v>
      </c>
      <c r="E47" s="31">
        <f t="shared" si="23"/>
        <v>54671.924172643558</v>
      </c>
      <c r="F47" s="66">
        <f t="shared" si="14"/>
        <v>655552.17915424856</v>
      </c>
      <c r="G47" s="68">
        <f t="shared" si="18"/>
        <v>14723.199999999997</v>
      </c>
      <c r="H47" s="41">
        <f t="shared" si="15"/>
        <v>58504.577777777769</v>
      </c>
      <c r="I47" s="66">
        <f t="shared" si="16"/>
        <v>53.003519999999988</v>
      </c>
      <c r="J47" s="36">
        <f t="shared" si="17"/>
        <v>210.61647999999997</v>
      </c>
      <c r="K47" s="153"/>
      <c r="L47" s="154"/>
      <c r="P47" s="52" t="s">
        <v>139</v>
      </c>
      <c r="Q47" s="53">
        <f>SUM(Q35:Q46)</f>
        <v>73227.777777777766</v>
      </c>
      <c r="R47" s="53">
        <f>SUM(R35:R46)</f>
        <v>141142.14799999999</v>
      </c>
      <c r="S47" s="54">
        <f>SUM(S35:S46)</f>
        <v>146787.83392</v>
      </c>
    </row>
    <row r="48" spans="2:27" ht="17" thickBot="1" x14ac:dyDescent="0.25">
      <c r="B48" s="48">
        <v>20</v>
      </c>
      <c r="C48" s="39">
        <f>Teplárna!J27</f>
        <v>1173.1273307800936</v>
      </c>
      <c r="D48" s="39">
        <f>Teplárna!K27-'Teplárna + FVE 18 kWp'!E48</f>
        <v>252777.48935527424</v>
      </c>
      <c r="E48" s="39">
        <f t="shared" si="23"/>
        <v>56482.337584974077</v>
      </c>
      <c r="F48" s="67">
        <f t="shared" si="14"/>
        <v>712034.51673922269</v>
      </c>
      <c r="G48" s="69">
        <f t="shared" si="18"/>
        <v>14585.599999999999</v>
      </c>
      <c r="H48" s="42">
        <f t="shared" si="15"/>
        <v>58642.177777777768</v>
      </c>
      <c r="I48" s="67">
        <f t="shared" si="16"/>
        <v>52.508159999999997</v>
      </c>
      <c r="J48" s="40">
        <f t="shared" si="17"/>
        <v>211.11183999999997</v>
      </c>
      <c r="K48" s="153"/>
      <c r="L48" s="154"/>
    </row>
    <row r="49" spans="4:13" x14ac:dyDescent="0.2">
      <c r="K49" s="153"/>
      <c r="M49" s="2"/>
    </row>
    <row r="50" spans="4:13" x14ac:dyDescent="0.2">
      <c r="M50" s="2"/>
    </row>
    <row r="51" spans="4:13" x14ac:dyDescent="0.2">
      <c r="M51" s="2"/>
    </row>
    <row r="52" spans="4:13" x14ac:dyDescent="0.2">
      <c r="M52" s="2"/>
    </row>
    <row r="53" spans="4:13" x14ac:dyDescent="0.2">
      <c r="M53" s="2"/>
    </row>
    <row r="54" spans="4:13" x14ac:dyDescent="0.2">
      <c r="M54" s="2"/>
    </row>
    <row r="55" spans="4:13" x14ac:dyDescent="0.2">
      <c r="L55" s="2"/>
      <c r="M55" s="2"/>
    </row>
    <row r="56" spans="4:13" x14ac:dyDescent="0.2">
      <c r="D56" s="12"/>
      <c r="L56" s="2"/>
      <c r="M56" s="2"/>
    </row>
    <row r="57" spans="4:13" x14ac:dyDescent="0.2">
      <c r="L57" s="2"/>
      <c r="M57" s="2"/>
    </row>
    <row r="58" spans="4:13" x14ac:dyDescent="0.2">
      <c r="L58" s="2"/>
      <c r="M58" s="2"/>
    </row>
    <row r="59" spans="4:13" x14ac:dyDescent="0.2">
      <c r="E59" s="2"/>
      <c r="L59" s="2"/>
    </row>
    <row r="60" spans="4:13" x14ac:dyDescent="0.2">
      <c r="L60" s="2"/>
    </row>
    <row r="61" spans="4:13" x14ac:dyDescent="0.2">
      <c r="L61" s="2"/>
    </row>
    <row r="62" spans="4:13" x14ac:dyDescent="0.2">
      <c r="L62" s="2"/>
    </row>
    <row r="63" spans="4:13" x14ac:dyDescent="0.2">
      <c r="L63" s="2"/>
    </row>
    <row r="66" spans="4:6" x14ac:dyDescent="0.2">
      <c r="D66" s="242" t="s">
        <v>131</v>
      </c>
      <c r="E66" s="242"/>
    </row>
    <row r="67" spans="4:6" x14ac:dyDescent="0.2">
      <c r="D67" s="1">
        <v>1</v>
      </c>
      <c r="E67" s="1">
        <v>1</v>
      </c>
      <c r="F67">
        <f>0.2/25</f>
        <v>8.0000000000000002E-3</v>
      </c>
    </row>
    <row r="68" spans="4:6" x14ac:dyDescent="0.2">
      <c r="D68" s="1">
        <v>2</v>
      </c>
      <c r="E68" s="1">
        <f t="shared" ref="E68:E91" si="24">E67-$F$67</f>
        <v>0.99199999999999999</v>
      </c>
    </row>
    <row r="69" spans="4:6" x14ac:dyDescent="0.2">
      <c r="D69" s="1">
        <v>3</v>
      </c>
      <c r="E69" s="1">
        <f t="shared" si="24"/>
        <v>0.98399999999999999</v>
      </c>
    </row>
    <row r="70" spans="4:6" x14ac:dyDescent="0.2">
      <c r="D70" s="1">
        <v>4</v>
      </c>
      <c r="E70" s="1">
        <f t="shared" si="24"/>
        <v>0.97599999999999998</v>
      </c>
    </row>
    <row r="71" spans="4:6" x14ac:dyDescent="0.2">
      <c r="D71" s="1">
        <v>5</v>
      </c>
      <c r="E71" s="1">
        <f t="shared" si="24"/>
        <v>0.96799999999999997</v>
      </c>
    </row>
    <row r="72" spans="4:6" x14ac:dyDescent="0.2">
      <c r="D72" s="1">
        <v>6</v>
      </c>
      <c r="E72" s="1">
        <f t="shared" si="24"/>
        <v>0.96</v>
      </c>
    </row>
    <row r="73" spans="4:6" x14ac:dyDescent="0.2">
      <c r="D73" s="1">
        <v>7</v>
      </c>
      <c r="E73" s="1">
        <f t="shared" si="24"/>
        <v>0.95199999999999996</v>
      </c>
    </row>
    <row r="74" spans="4:6" x14ac:dyDescent="0.2">
      <c r="D74" s="1">
        <v>8</v>
      </c>
      <c r="E74" s="1">
        <f t="shared" si="24"/>
        <v>0.94399999999999995</v>
      </c>
    </row>
    <row r="75" spans="4:6" x14ac:dyDescent="0.2">
      <c r="D75" s="1">
        <v>9</v>
      </c>
      <c r="E75" s="1">
        <f t="shared" si="24"/>
        <v>0.93599999999999994</v>
      </c>
    </row>
    <row r="76" spans="4:6" x14ac:dyDescent="0.2">
      <c r="D76" s="1">
        <v>10</v>
      </c>
      <c r="E76" s="1">
        <f t="shared" si="24"/>
        <v>0.92799999999999994</v>
      </c>
    </row>
    <row r="77" spans="4:6" x14ac:dyDescent="0.2">
      <c r="D77" s="1">
        <v>11</v>
      </c>
      <c r="E77" s="1">
        <f t="shared" si="24"/>
        <v>0.91999999999999993</v>
      </c>
    </row>
    <row r="78" spans="4:6" x14ac:dyDescent="0.2">
      <c r="D78" s="1">
        <v>12</v>
      </c>
      <c r="E78" s="1">
        <f t="shared" si="24"/>
        <v>0.91199999999999992</v>
      </c>
    </row>
    <row r="79" spans="4:6" x14ac:dyDescent="0.2">
      <c r="D79" s="1">
        <v>13</v>
      </c>
      <c r="E79" s="1">
        <f t="shared" si="24"/>
        <v>0.90399999999999991</v>
      </c>
    </row>
    <row r="80" spans="4:6" x14ac:dyDescent="0.2">
      <c r="D80" s="1">
        <v>14</v>
      </c>
      <c r="E80" s="1">
        <f t="shared" si="24"/>
        <v>0.89599999999999991</v>
      </c>
    </row>
    <row r="81" spans="4:5" x14ac:dyDescent="0.2">
      <c r="D81" s="1">
        <v>15</v>
      </c>
      <c r="E81" s="1">
        <f t="shared" si="24"/>
        <v>0.8879999999999999</v>
      </c>
    </row>
    <row r="82" spans="4:5" x14ac:dyDescent="0.2">
      <c r="D82" s="1">
        <v>16</v>
      </c>
      <c r="E82" s="1">
        <f t="shared" si="24"/>
        <v>0.87999999999999989</v>
      </c>
    </row>
    <row r="83" spans="4:5" x14ac:dyDescent="0.2">
      <c r="D83" s="1">
        <v>17</v>
      </c>
      <c r="E83" s="1">
        <f t="shared" si="24"/>
        <v>0.87199999999999989</v>
      </c>
    </row>
    <row r="84" spans="4:5" x14ac:dyDescent="0.2">
      <c r="D84" s="1">
        <v>18</v>
      </c>
      <c r="E84" s="1">
        <f t="shared" si="24"/>
        <v>0.86399999999999988</v>
      </c>
    </row>
    <row r="85" spans="4:5" x14ac:dyDescent="0.2">
      <c r="D85" s="1">
        <v>19</v>
      </c>
      <c r="E85" s="1">
        <f t="shared" si="24"/>
        <v>0.85599999999999987</v>
      </c>
    </row>
    <row r="86" spans="4:5" x14ac:dyDescent="0.2">
      <c r="D86" s="1">
        <v>20</v>
      </c>
      <c r="E86" s="1">
        <f t="shared" si="24"/>
        <v>0.84799999999999986</v>
      </c>
    </row>
    <row r="87" spans="4:5" x14ac:dyDescent="0.2">
      <c r="D87">
        <v>21</v>
      </c>
      <c r="E87">
        <f t="shared" si="24"/>
        <v>0.83999999999999986</v>
      </c>
    </row>
    <row r="88" spans="4:5" x14ac:dyDescent="0.2">
      <c r="D88">
        <v>22</v>
      </c>
      <c r="E88">
        <f t="shared" si="24"/>
        <v>0.83199999999999985</v>
      </c>
    </row>
    <row r="89" spans="4:5" x14ac:dyDescent="0.2">
      <c r="D89">
        <v>23</v>
      </c>
      <c r="E89">
        <f t="shared" si="24"/>
        <v>0.82399999999999984</v>
      </c>
    </row>
    <row r="90" spans="4:5" x14ac:dyDescent="0.2">
      <c r="D90">
        <v>24</v>
      </c>
      <c r="E90">
        <f t="shared" si="24"/>
        <v>0.81599999999999984</v>
      </c>
    </row>
    <row r="91" spans="4:5" x14ac:dyDescent="0.2">
      <c r="D91">
        <v>25</v>
      </c>
      <c r="E91">
        <f t="shared" si="24"/>
        <v>0.80799999999999983</v>
      </c>
    </row>
  </sheetData>
  <mergeCells count="11">
    <mergeCell ref="D1:E1"/>
    <mergeCell ref="F1:G1"/>
    <mergeCell ref="C2:C3"/>
    <mergeCell ref="A2:B4"/>
    <mergeCell ref="C7:E7"/>
    <mergeCell ref="D66:E66"/>
    <mergeCell ref="P31:S31"/>
    <mergeCell ref="P32:P34"/>
    <mergeCell ref="U3:X3"/>
    <mergeCell ref="O3:T3"/>
    <mergeCell ref="B26:J26"/>
  </mergeCells>
  <hyperlinks>
    <hyperlink ref="B9" r:id="rId1"/>
    <hyperlink ref="B14" r:id="rId2"/>
    <hyperlink ref="B19" r:id="rId3"/>
    <hyperlink ref="B20" r:id="rId4"/>
  </hyperlinks>
  <pageMargins left="0.7" right="0.7" top="0.75" bottom="0.75" header="0.3" footer="0.3"/>
  <ignoredErrors>
    <ignoredError sqref="E38" formula="1"/>
  </ignoredErrors>
  <drawing r:id="rId5"/>
  <legacy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92"/>
  <sheetViews>
    <sheetView zoomScale="80" zoomScaleNormal="80" zoomScalePageLayoutView="80" workbookViewId="0">
      <selection activeCell="D9" sqref="D9"/>
    </sheetView>
  </sheetViews>
  <sheetFormatPr baseColWidth="10" defaultColWidth="11" defaultRowHeight="16" x14ac:dyDescent="0.2"/>
  <cols>
    <col min="3" max="3" width="25.33203125" customWidth="1"/>
    <col min="4" max="4" width="18.33203125" bestFit="1" customWidth="1"/>
    <col min="5" max="5" width="19.1640625" bestFit="1" customWidth="1"/>
    <col min="6" max="6" width="24.83203125" bestFit="1" customWidth="1"/>
    <col min="7" max="7" width="23.6640625" bestFit="1" customWidth="1"/>
    <col min="8" max="8" width="23" bestFit="1" customWidth="1"/>
    <col min="9" max="10" width="21.33203125" bestFit="1" customWidth="1"/>
    <col min="11" max="11" width="16.5" bestFit="1" customWidth="1"/>
    <col min="12" max="12" width="26.33203125" bestFit="1" customWidth="1"/>
    <col min="14" max="14" width="29.1640625" bestFit="1" customWidth="1"/>
    <col min="15" max="15" width="13.6640625" bestFit="1" customWidth="1"/>
    <col min="16" max="16" width="29.1640625" bestFit="1" customWidth="1"/>
    <col min="17" max="17" width="27.83203125" bestFit="1" customWidth="1"/>
    <col min="18" max="18" width="24.6640625" bestFit="1" customWidth="1"/>
    <col min="19" max="19" width="20.6640625" bestFit="1" customWidth="1"/>
    <col min="20" max="20" width="22.5" customWidth="1"/>
    <col min="21" max="21" width="23.33203125" bestFit="1" customWidth="1"/>
    <col min="22" max="22" width="39.83203125" bestFit="1" customWidth="1"/>
    <col min="23" max="23" width="23.33203125" bestFit="1" customWidth="1"/>
    <col min="24" max="24" width="17" bestFit="1" customWidth="1"/>
  </cols>
  <sheetData>
    <row r="1" spans="1:34" ht="17" thickBot="1" x14ac:dyDescent="0.25">
      <c r="D1" s="254" t="s">
        <v>93</v>
      </c>
      <c r="E1" s="270"/>
      <c r="F1" s="271" t="s">
        <v>94</v>
      </c>
      <c r="G1" s="256"/>
      <c r="P1" t="s">
        <v>57</v>
      </c>
      <c r="U1" s="11" t="s">
        <v>39</v>
      </c>
      <c r="V1" s="11" t="s">
        <v>40</v>
      </c>
    </row>
    <row r="2" spans="1:34" ht="17" thickBot="1" x14ac:dyDescent="0.25">
      <c r="A2" s="259" t="s">
        <v>91</v>
      </c>
      <c r="B2" s="260"/>
      <c r="C2" s="257" t="s">
        <v>92</v>
      </c>
      <c r="D2" s="83">
        <f>Teplárna!E35</f>
        <v>73227.777777777766</v>
      </c>
      <c r="E2" s="115" t="s">
        <v>19</v>
      </c>
      <c r="F2" s="117">
        <f>Teplárna!$E$36</f>
        <v>200.62404870624047</v>
      </c>
      <c r="G2" s="86" t="s">
        <v>11</v>
      </c>
      <c r="P2" s="15">
        <f>F2</f>
        <v>200.62404870624047</v>
      </c>
      <c r="Q2" t="s">
        <v>11</v>
      </c>
      <c r="U2" s="10" t="s">
        <v>41</v>
      </c>
      <c r="V2" s="10" t="s">
        <v>42</v>
      </c>
    </row>
    <row r="3" spans="1:34" ht="20" thickBot="1" x14ac:dyDescent="0.3">
      <c r="A3" s="261"/>
      <c r="B3" s="262"/>
      <c r="C3" s="258"/>
      <c r="D3" s="235">
        <f>Teplárna!$C$2</f>
        <v>263.62</v>
      </c>
      <c r="E3" s="116" t="s">
        <v>18</v>
      </c>
      <c r="F3" s="118">
        <f>Teplárna!C35</f>
        <v>0.72224657534246572</v>
      </c>
      <c r="G3" s="81" t="s">
        <v>9</v>
      </c>
      <c r="O3" s="251" t="s">
        <v>105</v>
      </c>
      <c r="P3" s="252"/>
      <c r="Q3" s="252"/>
      <c r="R3" s="252"/>
      <c r="S3" s="252"/>
      <c r="T3" s="252"/>
      <c r="U3" s="269" t="s">
        <v>90</v>
      </c>
      <c r="V3" s="249"/>
      <c r="W3" s="249"/>
      <c r="X3" s="250"/>
      <c r="Y3" s="127"/>
      <c r="AH3" t="s">
        <v>88</v>
      </c>
    </row>
    <row r="4" spans="1:34" ht="17" thickBot="1" x14ac:dyDescent="0.25">
      <c r="A4" s="263"/>
      <c r="B4" s="264"/>
      <c r="C4" s="82" t="s">
        <v>113</v>
      </c>
      <c r="D4" s="112">
        <v>9226</v>
      </c>
      <c r="E4" s="82" t="s">
        <v>19</v>
      </c>
      <c r="F4" s="71"/>
      <c r="G4" s="71"/>
      <c r="H4" s="5"/>
      <c r="I4" s="5"/>
      <c r="J4" s="5"/>
      <c r="O4" s="70" t="s">
        <v>25</v>
      </c>
      <c r="P4" s="98" t="s">
        <v>107</v>
      </c>
      <c r="Q4" s="99" t="s">
        <v>100</v>
      </c>
      <c r="R4" s="99" t="s">
        <v>101</v>
      </c>
      <c r="S4" s="99" t="s">
        <v>102</v>
      </c>
      <c r="T4" s="120" t="s">
        <v>103</v>
      </c>
      <c r="U4" s="128" t="s">
        <v>44</v>
      </c>
      <c r="V4" s="129" t="s">
        <v>46</v>
      </c>
      <c r="W4" s="130" t="s">
        <v>45</v>
      </c>
      <c r="X4" s="131" t="s">
        <v>47</v>
      </c>
      <c r="AH4" s="210">
        <f>+AF6/AH6</f>
        <v>838.35572704977005</v>
      </c>
    </row>
    <row r="5" spans="1:34" ht="16" customHeight="1" x14ac:dyDescent="0.2">
      <c r="H5" s="5"/>
      <c r="I5" s="5"/>
      <c r="J5" s="5"/>
      <c r="O5" s="35" t="s">
        <v>26</v>
      </c>
      <c r="P5" s="84">
        <v>8.26</v>
      </c>
      <c r="Q5" s="85">
        <f t="shared" ref="Q5:Q17" si="0">$P$2-P5</f>
        <v>192.36404870624048</v>
      </c>
      <c r="R5" s="85">
        <f>T5/3.6*1000</f>
        <v>5963.2855098934542</v>
      </c>
      <c r="S5" s="96">
        <f>(Q5*3.6)/1000</f>
        <v>0.69251057534246574</v>
      </c>
      <c r="T5" s="137">
        <f t="shared" ref="T5:T15" si="1">S5*AA22</f>
        <v>21.467827835616436</v>
      </c>
      <c r="U5" s="135">
        <f>S5*Teplárna!$J$8</f>
        <v>385.60096851989044</v>
      </c>
      <c r="V5" s="101">
        <f t="shared" ref="V5:V15" si="2">U5*AA22</f>
        <v>11953.630024116605</v>
      </c>
      <c r="W5" s="101">
        <f t="shared" ref="W5:W15" si="3">S35</f>
        <v>12466.911921972604</v>
      </c>
      <c r="X5" s="105">
        <f t="shared" ref="X5:X17" si="4">W5-V5</f>
        <v>513.28189785599898</v>
      </c>
      <c r="Z5" s="61"/>
      <c r="AA5" s="61"/>
      <c r="AB5" s="61"/>
      <c r="AE5" s="26">
        <f>D21</f>
        <v>426563</v>
      </c>
    </row>
    <row r="6" spans="1:34" ht="17" thickBot="1" x14ac:dyDescent="0.25">
      <c r="H6" s="5"/>
      <c r="I6" s="5"/>
      <c r="J6" s="5"/>
      <c r="O6" s="35" t="s">
        <v>27</v>
      </c>
      <c r="P6" s="29">
        <v>16.2</v>
      </c>
      <c r="Q6" s="30">
        <f t="shared" si="0"/>
        <v>184.42404870624048</v>
      </c>
      <c r="R6" s="30">
        <f t="shared" ref="R6:R17" si="5">T6/3.6*1000</f>
        <v>5163.8733637747337</v>
      </c>
      <c r="S6" s="72">
        <f t="shared" ref="S6:S17" si="6">(Q6*3.6)/1000</f>
        <v>0.6639265753424658</v>
      </c>
      <c r="T6" s="138">
        <f t="shared" si="1"/>
        <v>18.589944109589041</v>
      </c>
      <c r="U6" s="78">
        <f>S6*Teplárna!$J$8</f>
        <v>369.68493997589047</v>
      </c>
      <c r="V6" s="31">
        <f t="shared" si="2"/>
        <v>10351.178319324934</v>
      </c>
      <c r="W6" s="31">
        <f t="shared" si="3"/>
        <v>11260.436574684933</v>
      </c>
      <c r="X6" s="36">
        <f t="shared" si="4"/>
        <v>909.25825535999866</v>
      </c>
      <c r="Z6" s="61"/>
      <c r="AA6" s="61"/>
      <c r="AB6" s="61"/>
      <c r="AD6">
        <v>1</v>
      </c>
      <c r="AE6" s="26">
        <f t="shared" ref="AE6:AE15" si="7">D30</f>
        <v>131580.87002239999</v>
      </c>
      <c r="AF6" s="28">
        <f>NPV(0.03,AE6:AE26)+AE5</f>
        <v>3288031.0966954329</v>
      </c>
      <c r="AG6" s="2">
        <f>D3</f>
        <v>263.62</v>
      </c>
      <c r="AH6" s="26">
        <f>NPV(0.03,AG6:AG26)</f>
        <v>3921.9999227132789</v>
      </c>
    </row>
    <row r="7" spans="1:34" ht="19" x14ac:dyDescent="0.25">
      <c r="C7" s="265" t="s">
        <v>120</v>
      </c>
      <c r="D7" s="266"/>
      <c r="E7" s="267"/>
      <c r="O7" s="35" t="s">
        <v>28</v>
      </c>
      <c r="P7" s="29">
        <v>28.3</v>
      </c>
      <c r="Q7" s="30">
        <f t="shared" si="0"/>
        <v>172.32404870624046</v>
      </c>
      <c r="R7" s="30">
        <f t="shared" si="5"/>
        <v>5342.0455098934544</v>
      </c>
      <c r="S7" s="72">
        <f t="shared" si="6"/>
        <v>0.62036657534246564</v>
      </c>
      <c r="T7" s="138">
        <f t="shared" si="1"/>
        <v>19.231363835616435</v>
      </c>
      <c r="U7" s="78">
        <f>S7*Teplárna!$J$8</f>
        <v>345.43003501589038</v>
      </c>
      <c r="V7" s="31">
        <f t="shared" si="2"/>
        <v>10708.331085492602</v>
      </c>
      <c r="W7" s="31">
        <f t="shared" si="3"/>
        <v>12466.911921972604</v>
      </c>
      <c r="X7" s="36">
        <f t="shared" si="4"/>
        <v>1758.5808364800014</v>
      </c>
      <c r="Z7" s="61"/>
      <c r="AA7" s="61"/>
      <c r="AB7" s="61"/>
      <c r="AD7">
        <f t="shared" ref="AD7:AD26" si="8">+AD6+1</f>
        <v>2</v>
      </c>
      <c r="AE7" s="26">
        <f t="shared" si="7"/>
        <v>136866.49777092406</v>
      </c>
      <c r="AG7">
        <f t="shared" ref="AG7:AG26" si="9">+AG6</f>
        <v>263.62</v>
      </c>
    </row>
    <row r="8" spans="1:34" x14ac:dyDescent="0.2">
      <c r="C8" s="232" t="s">
        <v>64</v>
      </c>
      <c r="D8" s="29"/>
      <c r="E8" s="233"/>
      <c r="O8" s="35" t="s">
        <v>29</v>
      </c>
      <c r="P8" s="29">
        <v>37.1</v>
      </c>
      <c r="Q8" s="30">
        <f t="shared" si="0"/>
        <v>163.52404870624048</v>
      </c>
      <c r="R8" s="30">
        <f t="shared" si="5"/>
        <v>4905.7214611872132</v>
      </c>
      <c r="S8" s="72">
        <f t="shared" si="6"/>
        <v>0.58868657534246571</v>
      </c>
      <c r="T8" s="138">
        <f t="shared" si="1"/>
        <v>17.66059726027397</v>
      </c>
      <c r="U8" s="78">
        <f>S8*Teplárna!$J$8</f>
        <v>327.79010413589043</v>
      </c>
      <c r="V8" s="31">
        <f t="shared" si="2"/>
        <v>9833.7031240767137</v>
      </c>
      <c r="W8" s="31">
        <f t="shared" si="3"/>
        <v>12064.753472876713</v>
      </c>
      <c r="X8" s="36">
        <f t="shared" si="4"/>
        <v>2231.0503487999995</v>
      </c>
      <c r="Z8" s="61"/>
      <c r="AA8" s="61"/>
      <c r="AB8" s="61"/>
      <c r="AD8">
        <f t="shared" si="8"/>
        <v>3</v>
      </c>
      <c r="AE8" s="26">
        <f t="shared" si="7"/>
        <v>142369.70538729418</v>
      </c>
      <c r="AG8">
        <f t="shared" si="9"/>
        <v>263.62</v>
      </c>
    </row>
    <row r="9" spans="1:34" x14ac:dyDescent="0.2">
      <c r="B9" s="20" t="s">
        <v>58</v>
      </c>
      <c r="C9" s="221" t="s">
        <v>62</v>
      </c>
      <c r="D9" s="214">
        <v>250</v>
      </c>
      <c r="E9" s="222" t="s">
        <v>63</v>
      </c>
      <c r="I9">
        <v>1000</v>
      </c>
      <c r="J9" t="s">
        <v>178</v>
      </c>
      <c r="O9" s="35" t="s">
        <v>30</v>
      </c>
      <c r="P9" s="29">
        <v>37.4</v>
      </c>
      <c r="Q9" s="30">
        <f t="shared" si="0"/>
        <v>163.22404870624047</v>
      </c>
      <c r="R9" s="30">
        <f t="shared" si="5"/>
        <v>5059.9455098934541</v>
      </c>
      <c r="S9" s="72">
        <f t="shared" si="6"/>
        <v>0.58760657534246574</v>
      </c>
      <c r="T9" s="138">
        <f t="shared" si="1"/>
        <v>18.215803835616438</v>
      </c>
      <c r="U9" s="78">
        <f>S9*Teplárna!$J$8</f>
        <v>327.18874285589044</v>
      </c>
      <c r="V9" s="31">
        <f t="shared" si="2"/>
        <v>10142.851028532603</v>
      </c>
      <c r="W9" s="31">
        <f t="shared" si="3"/>
        <v>12466.911921972604</v>
      </c>
      <c r="X9" s="36">
        <f t="shared" si="4"/>
        <v>2324.0608934400007</v>
      </c>
      <c r="Z9" s="61"/>
      <c r="AA9" s="61"/>
      <c r="AB9" s="61"/>
      <c r="AD9">
        <f t="shared" si="8"/>
        <v>4</v>
      </c>
      <c r="AE9" s="26">
        <f t="shared" si="7"/>
        <v>148099.44225654041</v>
      </c>
      <c r="AG9">
        <f t="shared" si="9"/>
        <v>263.62</v>
      </c>
    </row>
    <row r="10" spans="1:34" x14ac:dyDescent="0.2">
      <c r="C10" s="223" t="s">
        <v>59</v>
      </c>
      <c r="D10" s="214">
        <v>4828</v>
      </c>
      <c r="E10" s="222" t="s">
        <v>60</v>
      </c>
      <c r="I10">
        <f>I11*J11</f>
        <v>2286.9</v>
      </c>
      <c r="J10" t="s">
        <v>176</v>
      </c>
      <c r="O10" s="35" t="s">
        <v>31</v>
      </c>
      <c r="P10" s="29">
        <v>38.799999999999997</v>
      </c>
      <c r="Q10" s="30">
        <f t="shared" si="0"/>
        <v>161.82404870624049</v>
      </c>
      <c r="R10" s="30">
        <f t="shared" si="5"/>
        <v>4854.7214611872141</v>
      </c>
      <c r="S10" s="72">
        <f t="shared" si="6"/>
        <v>0.5825665753424657</v>
      </c>
      <c r="T10" s="138">
        <f t="shared" si="1"/>
        <v>17.476997260273972</v>
      </c>
      <c r="U10" s="78">
        <f>S10*Teplárna!$J$8</f>
        <v>324.38239021589038</v>
      </c>
      <c r="V10" s="31">
        <f t="shared" si="2"/>
        <v>9731.4717064767119</v>
      </c>
      <c r="W10" s="31">
        <f t="shared" si="3"/>
        <v>12064.753472876713</v>
      </c>
      <c r="X10" s="36">
        <f t="shared" si="4"/>
        <v>2333.2817664000013</v>
      </c>
      <c r="AD10">
        <f t="shared" si="8"/>
        <v>5</v>
      </c>
      <c r="AE10" s="26">
        <f t="shared" si="7"/>
        <v>154065.0255867067</v>
      </c>
      <c r="AG10">
        <f t="shared" si="9"/>
        <v>263.62</v>
      </c>
    </row>
    <row r="11" spans="1:34" x14ac:dyDescent="0.2">
      <c r="C11" s="223" t="s">
        <v>61</v>
      </c>
      <c r="D11" s="214">
        <f>(10000/D9)*D10</f>
        <v>193120</v>
      </c>
      <c r="E11" s="222" t="s">
        <v>60</v>
      </c>
      <c r="F11" t="s">
        <v>126</v>
      </c>
      <c r="G11">
        <f>10000/D9</f>
        <v>40</v>
      </c>
      <c r="H11" t="s">
        <v>127</v>
      </c>
      <c r="I11">
        <f>I12*G11</f>
        <v>65.34</v>
      </c>
      <c r="J11">
        <v>35</v>
      </c>
      <c r="O11" s="35" t="s">
        <v>32</v>
      </c>
      <c r="P11" s="29">
        <v>36.700000000000003</v>
      </c>
      <c r="Q11" s="30">
        <f t="shared" si="0"/>
        <v>163.92404870624046</v>
      </c>
      <c r="R11" s="30">
        <f t="shared" si="5"/>
        <v>5081.6455098934548</v>
      </c>
      <c r="S11" s="72">
        <f t="shared" si="6"/>
        <v>0.59012657534246571</v>
      </c>
      <c r="T11" s="138">
        <f t="shared" si="1"/>
        <v>18.293923835616436</v>
      </c>
      <c r="U11" s="78">
        <f>S11*Teplárna!$J$8</f>
        <v>328.59191917589038</v>
      </c>
      <c r="V11" s="31">
        <f t="shared" si="2"/>
        <v>10186.349494452601</v>
      </c>
      <c r="W11" s="31">
        <f t="shared" si="3"/>
        <v>12466.911921972604</v>
      </c>
      <c r="X11" s="36">
        <f t="shared" si="4"/>
        <v>2280.5624275200025</v>
      </c>
      <c r="AD11">
        <f t="shared" si="8"/>
        <v>6</v>
      </c>
      <c r="AE11" s="26">
        <f t="shared" si="7"/>
        <v>160276.15551567584</v>
      </c>
      <c r="AG11">
        <f t="shared" si="9"/>
        <v>263.62</v>
      </c>
    </row>
    <row r="12" spans="1:34" ht="32" x14ac:dyDescent="0.2">
      <c r="C12" s="224" t="s">
        <v>122</v>
      </c>
      <c r="D12" s="231">
        <v>15000</v>
      </c>
      <c r="E12" s="225" t="s">
        <v>60</v>
      </c>
      <c r="F12" s="164"/>
      <c r="G12" s="164"/>
      <c r="H12" s="164"/>
      <c r="I12" s="164">
        <f>'Teplárna + FVE 18 kWp'!H12</f>
        <v>1.6335</v>
      </c>
      <c r="J12" s="164"/>
      <c r="K12" s="164"/>
      <c r="L12" s="164"/>
      <c r="M12" s="164"/>
      <c r="N12" s="164"/>
      <c r="O12" s="163" t="s">
        <v>33</v>
      </c>
      <c r="P12" s="165">
        <v>35.200000000000003</v>
      </c>
      <c r="Q12" s="166">
        <f t="shared" si="0"/>
        <v>165.42404870624046</v>
      </c>
      <c r="R12" s="166">
        <f t="shared" si="5"/>
        <v>5128.1455098934548</v>
      </c>
      <c r="S12" s="167">
        <f t="shared" si="6"/>
        <v>0.59552657534246567</v>
      </c>
      <c r="T12" s="172">
        <f t="shared" si="1"/>
        <v>18.461323835616437</v>
      </c>
      <c r="U12" s="173">
        <f>S12*Teplárna!$J$8</f>
        <v>331.5987255758904</v>
      </c>
      <c r="V12" s="174">
        <f t="shared" si="2"/>
        <v>10279.560492852603</v>
      </c>
      <c r="W12" s="174">
        <f t="shared" si="3"/>
        <v>12466.911921972604</v>
      </c>
      <c r="X12" s="175">
        <f t="shared" si="4"/>
        <v>2187.3514291200008</v>
      </c>
      <c r="Y12" s="164"/>
      <c r="Z12" s="164"/>
      <c r="AA12" s="164"/>
      <c r="AB12" s="164"/>
      <c r="AC12" s="164"/>
      <c r="AD12" s="164">
        <f t="shared" si="8"/>
        <v>7</v>
      </c>
      <c r="AE12" s="212">
        <f t="shared" si="7"/>
        <v>166742.93083802372</v>
      </c>
      <c r="AF12" s="164"/>
      <c r="AG12" s="164">
        <f t="shared" si="9"/>
        <v>263.62</v>
      </c>
      <c r="AH12" s="164"/>
    </row>
    <row r="13" spans="1:34" x14ac:dyDescent="0.2">
      <c r="C13" s="223" t="s">
        <v>89</v>
      </c>
      <c r="D13" s="214">
        <v>35000</v>
      </c>
      <c r="E13" s="222"/>
      <c r="O13" s="35" t="s">
        <v>34</v>
      </c>
      <c r="P13" s="29">
        <v>28.6</v>
      </c>
      <c r="Q13" s="30">
        <f t="shared" si="0"/>
        <v>172.02404870624048</v>
      </c>
      <c r="R13" s="30">
        <f t="shared" si="5"/>
        <v>5160.7214611872141</v>
      </c>
      <c r="S13" s="72">
        <f t="shared" si="6"/>
        <v>0.61928657534246578</v>
      </c>
      <c r="T13" s="138">
        <f t="shared" si="1"/>
        <v>18.578597260273973</v>
      </c>
      <c r="U13" s="78">
        <f>S13*Teplárna!$J$8</f>
        <v>344.82867373589045</v>
      </c>
      <c r="V13" s="31">
        <f t="shared" si="2"/>
        <v>10344.860212076714</v>
      </c>
      <c r="W13" s="31">
        <f t="shared" si="3"/>
        <v>12064.753472876713</v>
      </c>
      <c r="X13" s="36">
        <f t="shared" si="4"/>
        <v>1719.8932607999996</v>
      </c>
      <c r="AD13">
        <f t="shared" si="8"/>
        <v>8</v>
      </c>
      <c r="AE13" s="26">
        <f t="shared" si="7"/>
        <v>173475.86537733444</v>
      </c>
      <c r="AG13">
        <f t="shared" si="9"/>
        <v>263.62</v>
      </c>
    </row>
    <row r="14" spans="1:34" x14ac:dyDescent="0.2">
      <c r="B14" s="20" t="s">
        <v>58</v>
      </c>
      <c r="C14" s="219" t="s">
        <v>65</v>
      </c>
      <c r="D14" s="214"/>
      <c r="E14" s="222"/>
      <c r="O14" s="35" t="s">
        <v>35</v>
      </c>
      <c r="P14" s="29">
        <v>20.100000000000001</v>
      </c>
      <c r="Q14" s="30">
        <f t="shared" si="0"/>
        <v>180.52404870624048</v>
      </c>
      <c r="R14" s="30">
        <f t="shared" si="5"/>
        <v>5596.2455098934543</v>
      </c>
      <c r="S14" s="72">
        <f t="shared" si="6"/>
        <v>0.64988657534246574</v>
      </c>
      <c r="T14" s="138">
        <f t="shared" si="1"/>
        <v>20.146483835616436</v>
      </c>
      <c r="U14" s="78">
        <f>S14*Teplárna!$J$8</f>
        <v>361.86724333589041</v>
      </c>
      <c r="V14" s="31">
        <f t="shared" si="2"/>
        <v>11217.884543412603</v>
      </c>
      <c r="W14" s="31">
        <f t="shared" si="3"/>
        <v>12466.911921972604</v>
      </c>
      <c r="X14" s="36">
        <f t="shared" si="4"/>
        <v>1249.0273785600002</v>
      </c>
      <c r="AD14">
        <f t="shared" si="8"/>
        <v>9</v>
      </c>
      <c r="AE14" s="26">
        <f t="shared" si="7"/>
        <v>180485.9050304491</v>
      </c>
      <c r="AG14">
        <f t="shared" si="9"/>
        <v>263.62</v>
      </c>
    </row>
    <row r="15" spans="1:34" x14ac:dyDescent="0.2">
      <c r="C15" s="223" t="s">
        <v>66</v>
      </c>
      <c r="D15" s="214">
        <v>66990</v>
      </c>
      <c r="E15" s="222" t="s">
        <v>60</v>
      </c>
      <c r="F15" t="s">
        <v>159</v>
      </c>
      <c r="G15" t="s">
        <v>158</v>
      </c>
      <c r="O15" s="35" t="s">
        <v>36</v>
      </c>
      <c r="P15" s="29">
        <v>9.2200000000000006</v>
      </c>
      <c r="Q15" s="30">
        <f t="shared" si="0"/>
        <v>191.40404870624047</v>
      </c>
      <c r="R15" s="30">
        <f t="shared" si="5"/>
        <v>5742.1214611872147</v>
      </c>
      <c r="S15" s="72">
        <f t="shared" si="6"/>
        <v>0.68905457534246572</v>
      </c>
      <c r="T15" s="138">
        <f t="shared" si="1"/>
        <v>20.671637260273972</v>
      </c>
      <c r="U15" s="78">
        <f>S15*Teplárna!$J$8</f>
        <v>383.67661242389039</v>
      </c>
      <c r="V15" s="31">
        <f t="shared" si="2"/>
        <v>11510.298372716712</v>
      </c>
      <c r="W15" s="31">
        <f t="shared" si="3"/>
        <v>12064.753472876713</v>
      </c>
      <c r="X15" s="36">
        <f t="shared" si="4"/>
        <v>554.45510016000117</v>
      </c>
      <c r="AD15">
        <f t="shared" si="8"/>
        <v>10</v>
      </c>
      <c r="AE15" s="26">
        <f t="shared" si="7"/>
        <v>250582.44551120923</v>
      </c>
      <c r="AG15">
        <f t="shared" si="9"/>
        <v>263.62</v>
      </c>
    </row>
    <row r="16" spans="1:34" x14ac:dyDescent="0.2">
      <c r="C16" s="223" t="s">
        <v>162</v>
      </c>
      <c r="D16" s="214">
        <v>10500</v>
      </c>
      <c r="E16" s="222" t="s">
        <v>60</v>
      </c>
      <c r="O16" s="144"/>
      <c r="P16" s="194"/>
      <c r="Q16" s="195"/>
      <c r="R16" s="195"/>
      <c r="S16" s="196"/>
      <c r="T16" s="201"/>
      <c r="U16" s="202"/>
      <c r="V16" s="145"/>
      <c r="W16" s="145"/>
      <c r="X16" s="203"/>
      <c r="AE16" s="26"/>
    </row>
    <row r="17" spans="2:33" ht="17" thickBot="1" x14ac:dyDescent="0.25">
      <c r="C17" s="223" t="s">
        <v>121</v>
      </c>
      <c r="D17" s="214">
        <v>43155</v>
      </c>
      <c r="E17" s="222" t="s">
        <v>60</v>
      </c>
      <c r="F17" t="s">
        <v>157</v>
      </c>
      <c r="G17">
        <v>40530</v>
      </c>
      <c r="O17" s="55" t="s">
        <v>37</v>
      </c>
      <c r="P17" s="57">
        <v>7.21</v>
      </c>
      <c r="Q17" s="76">
        <f t="shared" si="0"/>
        <v>193.41404870624046</v>
      </c>
      <c r="R17" s="76">
        <f t="shared" si="5"/>
        <v>5995.8355098934544</v>
      </c>
      <c r="S17" s="77">
        <f t="shared" si="6"/>
        <v>0.69629057534246563</v>
      </c>
      <c r="T17" s="139">
        <f t="shared" ref="T17" si="10">S17*AA33</f>
        <v>21.585007835616434</v>
      </c>
      <c r="U17" s="136">
        <f>S17*Teplárna!$J$8</f>
        <v>387.70573299989036</v>
      </c>
      <c r="V17" s="133">
        <f t="shared" ref="V17" si="11">U17*AA33</f>
        <v>12018.877722996602</v>
      </c>
      <c r="W17" s="133">
        <f t="shared" ref="W17" si="12">S46</f>
        <v>12466.911921972604</v>
      </c>
      <c r="X17" s="134">
        <f t="shared" si="4"/>
        <v>448.03419897600179</v>
      </c>
      <c r="AD17">
        <f>+AD15+1</f>
        <v>11</v>
      </c>
      <c r="AE17" s="26">
        <f t="shared" ref="AE17:AE26" si="13">D40</f>
        <v>195383.35082238144</v>
      </c>
      <c r="AG17">
        <f>+AG15</f>
        <v>263.62</v>
      </c>
    </row>
    <row r="18" spans="2:33" ht="18" thickTop="1" thickBot="1" x14ac:dyDescent="0.25">
      <c r="C18" s="219" t="s">
        <v>67</v>
      </c>
      <c r="D18" s="214"/>
      <c r="E18" s="222"/>
      <c r="F18" t="s">
        <v>128</v>
      </c>
      <c r="O18" s="73" t="s">
        <v>43</v>
      </c>
      <c r="P18" s="74"/>
      <c r="Q18" s="74"/>
      <c r="R18" s="141">
        <f>SUM(R5:R17)</f>
        <v>63994.307777777765</v>
      </c>
      <c r="S18" s="74"/>
      <c r="T18" s="141">
        <f>SUM(T5:T17)</f>
        <v>230.37950799999999</v>
      </c>
      <c r="U18" s="140"/>
      <c r="V18" s="142">
        <f>SUM(V5:V17)</f>
        <v>128278.996126528</v>
      </c>
      <c r="W18" s="132">
        <f>SUM(W5:W17)</f>
        <v>146787.83392</v>
      </c>
      <c r="X18" s="143">
        <f>W18+W19-V18</f>
        <v>18535.297793471997</v>
      </c>
      <c r="AD18">
        <f t="shared" si="8"/>
        <v>12</v>
      </c>
      <c r="AE18" s="26">
        <f t="shared" si="13"/>
        <v>203294.97248562952</v>
      </c>
      <c r="AG18">
        <f t="shared" si="9"/>
        <v>263.62</v>
      </c>
    </row>
    <row r="19" spans="2:33" x14ac:dyDescent="0.2">
      <c r="B19" s="20" t="s">
        <v>58</v>
      </c>
      <c r="C19" s="223" t="s">
        <v>68</v>
      </c>
      <c r="D19" s="214">
        <f>G19</f>
        <v>18218</v>
      </c>
      <c r="E19" s="222" t="s">
        <v>60</v>
      </c>
      <c r="F19" t="s">
        <v>114</v>
      </c>
      <c r="G19">
        <v>18218</v>
      </c>
      <c r="H19" t="s">
        <v>60</v>
      </c>
      <c r="W19" s="18">
        <v>26.46</v>
      </c>
      <c r="AD19">
        <f t="shared" si="8"/>
        <v>13</v>
      </c>
      <c r="AE19" s="26">
        <f t="shared" si="13"/>
        <v>211532.16956062161</v>
      </c>
      <c r="AG19">
        <f t="shared" si="9"/>
        <v>263.62</v>
      </c>
    </row>
    <row r="20" spans="2:33" x14ac:dyDescent="0.2">
      <c r="B20" s="20" t="s">
        <v>58</v>
      </c>
      <c r="C20" s="227" t="s">
        <v>136</v>
      </c>
      <c r="D20" s="214">
        <f>G20*I20</f>
        <v>44580</v>
      </c>
      <c r="E20" s="222" t="s">
        <v>60</v>
      </c>
      <c r="F20" t="s">
        <v>133</v>
      </c>
      <c r="G20">
        <v>8916</v>
      </c>
      <c r="H20" t="s">
        <v>60</v>
      </c>
      <c r="I20">
        <v>5</v>
      </c>
      <c r="J20" t="s">
        <v>155</v>
      </c>
      <c r="AD20">
        <f t="shared" si="8"/>
        <v>14</v>
      </c>
      <c r="AE20" s="26">
        <f t="shared" si="13"/>
        <v>220108.32948563603</v>
      </c>
      <c r="AG20">
        <f t="shared" si="9"/>
        <v>263.62</v>
      </c>
    </row>
    <row r="21" spans="2:33" x14ac:dyDescent="0.2">
      <c r="C21" s="219" t="s">
        <v>130</v>
      </c>
      <c r="D21" s="217">
        <f>SUM(D11:D20)</f>
        <v>426563</v>
      </c>
      <c r="E21" s="226" t="s">
        <v>60</v>
      </c>
      <c r="AD21">
        <f t="shared" si="8"/>
        <v>15</v>
      </c>
      <c r="AE21" s="26">
        <f t="shared" si="13"/>
        <v>229037.38977335466</v>
      </c>
      <c r="AG21">
        <f t="shared" si="9"/>
        <v>263.62</v>
      </c>
    </row>
    <row r="22" spans="2:33" x14ac:dyDescent="0.2">
      <c r="C22" s="227"/>
      <c r="D22" s="214"/>
      <c r="E22" s="222"/>
      <c r="AA22">
        <v>31</v>
      </c>
      <c r="AD22">
        <f t="shared" si="8"/>
        <v>16</v>
      </c>
      <c r="AE22" s="26">
        <f t="shared" si="13"/>
        <v>238333.86059691379</v>
      </c>
      <c r="AG22">
        <f t="shared" si="9"/>
        <v>263.62</v>
      </c>
    </row>
    <row r="23" spans="2:33" x14ac:dyDescent="0.2">
      <c r="C23" s="35" t="s">
        <v>71</v>
      </c>
      <c r="D23" s="216">
        <f>I10+I9</f>
        <v>3286.9</v>
      </c>
      <c r="E23" s="222" t="s">
        <v>5</v>
      </c>
      <c r="F23" t="s">
        <v>125</v>
      </c>
      <c r="AA23">
        <v>28</v>
      </c>
      <c r="AD23">
        <f t="shared" si="8"/>
        <v>17</v>
      </c>
      <c r="AE23" s="26">
        <f t="shared" si="13"/>
        <v>248012.84830272026</v>
      </c>
      <c r="AG23">
        <f t="shared" si="9"/>
        <v>263.62</v>
      </c>
    </row>
    <row r="24" spans="2:33" ht="17" thickBot="1" x14ac:dyDescent="0.25">
      <c r="C24" s="234" t="s">
        <v>69</v>
      </c>
      <c r="D24" s="229">
        <v>20</v>
      </c>
      <c r="E24" s="230" t="s">
        <v>70</v>
      </c>
      <c r="AA24">
        <v>31</v>
      </c>
      <c r="AD24">
        <f t="shared" si="8"/>
        <v>18</v>
      </c>
      <c r="AE24" s="26">
        <f t="shared" si="13"/>
        <v>258090.0798880361</v>
      </c>
      <c r="AG24">
        <f t="shared" si="9"/>
        <v>263.62</v>
      </c>
    </row>
    <row r="25" spans="2:33" x14ac:dyDescent="0.2">
      <c r="AA25">
        <v>30</v>
      </c>
      <c r="AD25">
        <f t="shared" si="8"/>
        <v>19</v>
      </c>
      <c r="AE25" s="26">
        <f t="shared" si="13"/>
        <v>268581.92848289292</v>
      </c>
      <c r="AG25">
        <f t="shared" si="9"/>
        <v>263.62</v>
      </c>
    </row>
    <row r="26" spans="2:33" x14ac:dyDescent="0.2">
      <c r="C26" s="5"/>
      <c r="D26" s="5"/>
      <c r="E26" s="5"/>
      <c r="F26" s="5"/>
      <c r="G26" s="5"/>
      <c r="H26" s="5"/>
      <c r="I26" s="5"/>
      <c r="J26" s="5"/>
      <c r="AA26">
        <v>31</v>
      </c>
      <c r="AD26">
        <f t="shared" si="8"/>
        <v>20</v>
      </c>
      <c r="AE26" s="26">
        <f t="shared" si="13"/>
        <v>279505.43987751746</v>
      </c>
      <c r="AG26">
        <f t="shared" si="9"/>
        <v>263.62</v>
      </c>
    </row>
    <row r="27" spans="2:33" ht="20" thickBot="1" x14ac:dyDescent="0.3">
      <c r="B27" s="268" t="s">
        <v>50</v>
      </c>
      <c r="C27" s="268"/>
      <c r="D27" s="268"/>
      <c r="E27" s="268"/>
      <c r="F27" s="268"/>
      <c r="G27" s="268"/>
      <c r="H27" s="268"/>
      <c r="I27" s="268"/>
      <c r="J27" s="268"/>
      <c r="AA27">
        <v>30</v>
      </c>
    </row>
    <row r="28" spans="2:33" ht="17" thickBot="1" x14ac:dyDescent="0.25">
      <c r="B28" s="106" t="s">
        <v>0</v>
      </c>
      <c r="C28" s="107" t="s">
        <v>104</v>
      </c>
      <c r="D28" s="107" t="s">
        <v>21</v>
      </c>
      <c r="E28" s="107" t="s">
        <v>98</v>
      </c>
      <c r="F28" s="108" t="s">
        <v>51</v>
      </c>
      <c r="G28" s="109" t="s">
        <v>108</v>
      </c>
      <c r="H28" s="110" t="s">
        <v>97</v>
      </c>
      <c r="I28" s="108" t="s">
        <v>49</v>
      </c>
      <c r="J28" s="111" t="s">
        <v>96</v>
      </c>
      <c r="K28" s="152"/>
      <c r="L28" s="152"/>
      <c r="AA28">
        <v>31</v>
      </c>
    </row>
    <row r="29" spans="2:33" x14ac:dyDescent="0.2">
      <c r="B29" s="35">
        <v>0</v>
      </c>
      <c r="C29" s="191">
        <f>Teplárna!J7</f>
        <v>535.4</v>
      </c>
      <c r="D29" s="31">
        <f>Teplárna!C7</f>
        <v>141142.14799999999</v>
      </c>
      <c r="E29" s="31">
        <f t="shared" ref="E29" si="14">(I29)*C29</f>
        <v>0</v>
      </c>
      <c r="F29" s="43">
        <f>E29</f>
        <v>0</v>
      </c>
      <c r="G29" s="64">
        <v>0</v>
      </c>
      <c r="H29" s="31">
        <f t="shared" ref="H29:H49" si="15">$D$2-G29</f>
        <v>73227.777777777766</v>
      </c>
      <c r="I29" s="31">
        <f>($G$29*3.6)/1000</f>
        <v>0</v>
      </c>
      <c r="J29" s="36">
        <f>$D$3-I29</f>
        <v>263.62</v>
      </c>
      <c r="K29" s="153"/>
      <c r="L29" s="154"/>
      <c r="AA29">
        <v>31</v>
      </c>
    </row>
    <row r="30" spans="2:33" ht="17" thickBot="1" x14ac:dyDescent="0.25">
      <c r="B30" s="35">
        <v>1</v>
      </c>
      <c r="C30" s="191">
        <f>Teplárna!J8</f>
        <v>556.81600000000003</v>
      </c>
      <c r="D30" s="31">
        <f>Teplárna!K8-'Teplárna + FVE 10 kWp'!E30</f>
        <v>131580.87002239999</v>
      </c>
      <c r="E30" s="31">
        <f t="shared" ref="E30:E38" si="16">(I30)*C30-$D$23</f>
        <v>15206.963897600001</v>
      </c>
      <c r="F30" s="43">
        <f t="shared" ref="F30:F49" si="17">F29+E30</f>
        <v>15206.963897600001</v>
      </c>
      <c r="G30" s="64">
        <f t="shared" ref="G30:G49" si="18">$D$4*E68</f>
        <v>9226</v>
      </c>
      <c r="H30" s="31">
        <f t="shared" si="15"/>
        <v>64001.777777777766</v>
      </c>
      <c r="I30" s="31">
        <f>(G30*3.6)/1000</f>
        <v>33.2136</v>
      </c>
      <c r="J30" s="36">
        <f t="shared" ref="J30:J49" si="19">$D$3-I30</f>
        <v>230.40640000000002</v>
      </c>
      <c r="K30" s="153"/>
      <c r="L30" s="154"/>
      <c r="AA30">
        <v>30</v>
      </c>
    </row>
    <row r="31" spans="2:33" ht="17" customHeight="1" thickBot="1" x14ac:dyDescent="0.3">
      <c r="B31" s="35">
        <v>2</v>
      </c>
      <c r="C31" s="191">
        <f>Teplárna!J9</f>
        <v>579.08864000000005</v>
      </c>
      <c r="D31" s="31">
        <f>Teplárna!K9-'Teplárna + FVE 10 kWp'!E31</f>
        <v>136866.49777092406</v>
      </c>
      <c r="E31" s="31">
        <f t="shared" si="16"/>
        <v>15792.849505875971</v>
      </c>
      <c r="F31" s="43">
        <f t="shared" si="17"/>
        <v>30999.813403475971</v>
      </c>
      <c r="G31" s="64">
        <f t="shared" si="18"/>
        <v>9152.1919999999991</v>
      </c>
      <c r="H31" s="31">
        <f t="shared" si="15"/>
        <v>64075.585777777771</v>
      </c>
      <c r="I31" s="31">
        <f t="shared" ref="I31:I49" si="20">(G31*3.6)/1000</f>
        <v>32.947891200000001</v>
      </c>
      <c r="J31" s="36">
        <f t="shared" si="19"/>
        <v>230.67210879999999</v>
      </c>
      <c r="K31" s="153"/>
      <c r="L31" s="154"/>
      <c r="P31" s="243" t="s">
        <v>38</v>
      </c>
      <c r="Q31" s="244"/>
      <c r="R31" s="244"/>
      <c r="S31" s="245"/>
      <c r="T31" s="60"/>
      <c r="U31" s="60"/>
      <c r="V31" s="60"/>
      <c r="AA31">
        <v>31</v>
      </c>
    </row>
    <row r="32" spans="2:33" ht="14" customHeight="1" thickBot="1" x14ac:dyDescent="0.25">
      <c r="B32" s="35">
        <v>3</v>
      </c>
      <c r="C32" s="191">
        <f>Teplárna!J10</f>
        <v>602.25218560000008</v>
      </c>
      <c r="D32" s="31">
        <f>Teplárna!K10-'Teplárna + FVE 10 kWp'!E32</f>
        <v>142369.70538729418</v>
      </c>
      <c r="E32" s="31">
        <f t="shared" si="16"/>
        <v>16396.015780577854</v>
      </c>
      <c r="F32" s="43">
        <f t="shared" si="17"/>
        <v>47395.82918405383</v>
      </c>
      <c r="G32" s="64">
        <f t="shared" si="18"/>
        <v>9078.384</v>
      </c>
      <c r="H32" s="31">
        <f t="shared" si="15"/>
        <v>64149.393777777768</v>
      </c>
      <c r="I32" s="31">
        <f t="shared" si="20"/>
        <v>32.682182400000002</v>
      </c>
      <c r="J32" s="36">
        <f t="shared" si="19"/>
        <v>230.93781760000002</v>
      </c>
      <c r="K32" s="153"/>
      <c r="L32" s="154"/>
      <c r="P32" s="246" t="s">
        <v>25</v>
      </c>
      <c r="Q32" s="183" t="s">
        <v>138</v>
      </c>
      <c r="R32" s="99" t="s">
        <v>22</v>
      </c>
      <c r="S32" s="120" t="s">
        <v>53</v>
      </c>
      <c r="U32" s="7"/>
      <c r="V32" s="62"/>
      <c r="W32" s="62"/>
      <c r="AA32">
        <v>30</v>
      </c>
    </row>
    <row r="33" spans="2:27" ht="17" thickBot="1" x14ac:dyDescent="0.25">
      <c r="B33" s="35">
        <v>4</v>
      </c>
      <c r="C33" s="191">
        <f>Teplárna!J11</f>
        <v>626.34227302400006</v>
      </c>
      <c r="D33" s="31">
        <f>Teplárna!K11-'Teplárna + FVE 10 kWp'!E33</f>
        <v>148099.44225654041</v>
      </c>
      <c r="E33" s="31">
        <f t="shared" si="16"/>
        <v>17016.907758046487</v>
      </c>
      <c r="F33" s="43">
        <f t="shared" si="17"/>
        <v>64412.736942100317</v>
      </c>
      <c r="G33" s="64">
        <f t="shared" si="18"/>
        <v>9004.5759999999991</v>
      </c>
      <c r="H33" s="31">
        <f t="shared" si="15"/>
        <v>64223.201777777766</v>
      </c>
      <c r="I33" s="31">
        <f t="shared" si="20"/>
        <v>32.416473599999996</v>
      </c>
      <c r="J33" s="36">
        <f t="shared" si="19"/>
        <v>231.20352640000002</v>
      </c>
      <c r="K33" s="153"/>
      <c r="L33" s="154"/>
      <c r="P33" s="247"/>
      <c r="Q33" s="182">
        <f>P2</f>
        <v>200.62404870624047</v>
      </c>
      <c r="R33" s="179">
        <f>Teplárna!H35</f>
        <v>386.69081643835614</v>
      </c>
      <c r="S33" s="180">
        <f>Teplárna!H39</f>
        <v>402.15844909589043</v>
      </c>
      <c r="U33" s="7"/>
      <c r="V33" s="63"/>
      <c r="W33" s="63"/>
      <c r="AA33">
        <v>31</v>
      </c>
    </row>
    <row r="34" spans="2:27" ht="17" thickBot="1" x14ac:dyDescent="0.25">
      <c r="B34" s="35">
        <v>5</v>
      </c>
      <c r="C34" s="191">
        <f>Teplárna!J12</f>
        <v>651.39596394496016</v>
      </c>
      <c r="D34" s="31">
        <f>Teplárna!K12-'Teplárna + FVE 10 kWp'!E34</f>
        <v>154065.0255867067</v>
      </c>
      <c r="E34" s="31">
        <f t="shared" si="16"/>
        <v>17655.978428463692</v>
      </c>
      <c r="F34" s="43">
        <f t="shared" si="17"/>
        <v>82068.715370564008</v>
      </c>
      <c r="G34" s="64">
        <f t="shared" si="18"/>
        <v>8930.768</v>
      </c>
      <c r="H34" s="31">
        <f t="shared" si="15"/>
        <v>64297.00977777777</v>
      </c>
      <c r="I34" s="31">
        <f t="shared" si="20"/>
        <v>32.150764799999997</v>
      </c>
      <c r="J34" s="36">
        <f t="shared" si="19"/>
        <v>231.46923520000001</v>
      </c>
      <c r="K34" s="153"/>
      <c r="L34" s="154"/>
      <c r="P34" s="248"/>
      <c r="Q34" s="183" t="s">
        <v>137</v>
      </c>
      <c r="R34" s="99" t="s">
        <v>140</v>
      </c>
      <c r="S34" s="120" t="s">
        <v>141</v>
      </c>
      <c r="U34" s="63"/>
      <c r="V34" s="63"/>
      <c r="W34" s="63"/>
      <c r="AA34">
        <f>SUM(AA22:AA33)</f>
        <v>365</v>
      </c>
    </row>
    <row r="35" spans="2:27" x14ac:dyDescent="0.2">
      <c r="B35" s="35">
        <v>6</v>
      </c>
      <c r="C35" s="191">
        <f>Teplárna!J13</f>
        <v>677.4518025027586</v>
      </c>
      <c r="D35" s="31">
        <f>Teplárna!K13-'Teplárna + FVE 10 kWp'!E35</f>
        <v>160276.15551567584</v>
      </c>
      <c r="E35" s="31">
        <f t="shared" si="16"/>
        <v>18313.688660101394</v>
      </c>
      <c r="F35" s="43">
        <f t="shared" si="17"/>
        <v>100382.40403066541</v>
      </c>
      <c r="G35" s="64">
        <f t="shared" si="18"/>
        <v>8856.9599999999991</v>
      </c>
      <c r="H35" s="31">
        <f t="shared" si="15"/>
        <v>64370.817777777767</v>
      </c>
      <c r="I35" s="31">
        <f t="shared" si="20"/>
        <v>31.885055999999995</v>
      </c>
      <c r="J35" s="36">
        <f t="shared" si="19"/>
        <v>231.73494400000001</v>
      </c>
      <c r="K35" s="153"/>
      <c r="L35" s="154"/>
      <c r="P35" s="95" t="s">
        <v>26</v>
      </c>
      <c r="Q35" s="93">
        <f t="shared" ref="Q35:Q46" si="21">$Q$33*AA22</f>
        <v>6219.3455098934546</v>
      </c>
      <c r="R35" s="85">
        <f t="shared" ref="R35:R46" si="22">$R$33*AA22</f>
        <v>11987.41530958904</v>
      </c>
      <c r="S35" s="181">
        <f t="shared" ref="S35:S46" si="23">$S$33*AA22</f>
        <v>12466.911921972604</v>
      </c>
      <c r="U35" s="63"/>
      <c r="V35" s="63"/>
      <c r="W35" s="63"/>
    </row>
    <row r="36" spans="2:27" x14ac:dyDescent="0.2">
      <c r="B36" s="35">
        <v>7</v>
      </c>
      <c r="C36" s="191">
        <f>Teplárna!J14</f>
        <v>704.54987460286884</v>
      </c>
      <c r="D36" s="31">
        <f>Teplárna!K14-'Teplárna + FVE 10 kWp'!E36</f>
        <v>166742.93083802372</v>
      </c>
      <c r="E36" s="31">
        <f t="shared" si="16"/>
        <v>18990.50710478457</v>
      </c>
      <c r="F36" s="43">
        <f t="shared" si="17"/>
        <v>119372.91113544998</v>
      </c>
      <c r="G36" s="64">
        <f t="shared" si="18"/>
        <v>8783.152</v>
      </c>
      <c r="H36" s="31">
        <f t="shared" si="15"/>
        <v>64444.625777777765</v>
      </c>
      <c r="I36" s="31">
        <f t="shared" si="20"/>
        <v>31.6193472</v>
      </c>
      <c r="J36" s="36">
        <f t="shared" si="19"/>
        <v>232.00065280000001</v>
      </c>
      <c r="K36" s="153"/>
      <c r="L36" s="154"/>
      <c r="P36" s="35" t="s">
        <v>27</v>
      </c>
      <c r="Q36" s="45">
        <f t="shared" si="21"/>
        <v>5617.4733637747331</v>
      </c>
      <c r="R36" s="30">
        <f t="shared" si="22"/>
        <v>10827.342860273971</v>
      </c>
      <c r="S36" s="177">
        <f t="shared" si="23"/>
        <v>11260.436574684933</v>
      </c>
      <c r="U36" s="63"/>
      <c r="V36" s="63"/>
      <c r="W36" s="63"/>
    </row>
    <row r="37" spans="2:27" x14ac:dyDescent="0.2">
      <c r="B37" s="35">
        <v>8</v>
      </c>
      <c r="C37" s="191">
        <f>Teplárna!J15</f>
        <v>732.73186958698375</v>
      </c>
      <c r="D37" s="31">
        <f>Teplárna!K15-'Teplárna + FVE 10 kWp'!E37</f>
        <v>173475.86537733444</v>
      </c>
      <c r="E37" s="31">
        <f t="shared" si="16"/>
        <v>19686.910083186242</v>
      </c>
      <c r="F37" s="43">
        <f t="shared" si="17"/>
        <v>139059.82121863621</v>
      </c>
      <c r="G37" s="64">
        <f t="shared" si="18"/>
        <v>8709.3439999999991</v>
      </c>
      <c r="H37" s="31">
        <f t="shared" si="15"/>
        <v>64518.433777777769</v>
      </c>
      <c r="I37" s="31">
        <f t="shared" si="20"/>
        <v>31.353638399999998</v>
      </c>
      <c r="J37" s="36">
        <f t="shared" si="19"/>
        <v>232.26636160000001</v>
      </c>
      <c r="K37" s="153"/>
      <c r="L37" s="154"/>
      <c r="P37" s="35" t="s">
        <v>28</v>
      </c>
      <c r="Q37" s="45">
        <f t="shared" si="21"/>
        <v>6219.3455098934546</v>
      </c>
      <c r="R37" s="30">
        <f t="shared" si="22"/>
        <v>11987.41530958904</v>
      </c>
      <c r="S37" s="177">
        <f t="shared" si="23"/>
        <v>12466.911921972604</v>
      </c>
      <c r="U37" s="63"/>
      <c r="V37" s="63"/>
      <c r="W37" s="63"/>
    </row>
    <row r="38" spans="2:27" x14ac:dyDescent="0.2">
      <c r="B38" s="35">
        <v>9</v>
      </c>
      <c r="C38" s="191">
        <f>Teplárna!J16</f>
        <v>762.04114437046314</v>
      </c>
      <c r="D38" s="31">
        <f>Teplárna!K16-'Teplárna + FVE 10 kWp'!E38</f>
        <v>180485.9050304491</v>
      </c>
      <c r="E38" s="31">
        <f t="shared" si="16"/>
        <v>20403.381448492393</v>
      </c>
      <c r="F38" s="43">
        <f t="shared" si="17"/>
        <v>159463.20266712859</v>
      </c>
      <c r="G38" s="64">
        <f t="shared" si="18"/>
        <v>8635.5360000000001</v>
      </c>
      <c r="H38" s="31">
        <f t="shared" si="15"/>
        <v>64592.241777777766</v>
      </c>
      <c r="I38" s="31">
        <f t="shared" si="20"/>
        <v>31.087929599999999</v>
      </c>
      <c r="J38" s="36">
        <f t="shared" si="19"/>
        <v>232.53207040000001</v>
      </c>
      <c r="K38" s="153"/>
      <c r="L38" s="154"/>
      <c r="P38" s="35" t="s">
        <v>29</v>
      </c>
      <c r="Q38" s="45">
        <f t="shared" si="21"/>
        <v>6018.7214611872141</v>
      </c>
      <c r="R38" s="30">
        <f t="shared" si="22"/>
        <v>11600.724493150685</v>
      </c>
      <c r="S38" s="177">
        <f t="shared" si="23"/>
        <v>12064.753472876713</v>
      </c>
      <c r="U38" s="63"/>
      <c r="V38" s="63"/>
      <c r="W38" s="63"/>
    </row>
    <row r="39" spans="2:27" x14ac:dyDescent="0.2">
      <c r="B39" s="35">
        <v>10</v>
      </c>
      <c r="C39" s="191">
        <f>Teplárna!J17</f>
        <v>792.52279014528165</v>
      </c>
      <c r="D39" s="189">
        <f>Teplárna!K17-'Teplárna + FVE 10 kWp'!E39</f>
        <v>250582.44551120923</v>
      </c>
      <c r="E39" s="31">
        <f>(I39)*C39-$D$23-(+'Teplárna + FVE 10 kWp'!D19+'Teplárna + FVE 10 kWp'!D20)</f>
        <v>-41657.587573110068</v>
      </c>
      <c r="F39" s="43">
        <f t="shared" si="17"/>
        <v>117805.61509401852</v>
      </c>
      <c r="G39" s="64">
        <f t="shared" si="18"/>
        <v>8561.7279999999992</v>
      </c>
      <c r="H39" s="31">
        <f t="shared" si="15"/>
        <v>64666.049777777764</v>
      </c>
      <c r="I39" s="31">
        <f t="shared" si="20"/>
        <v>30.8222208</v>
      </c>
      <c r="J39" s="36">
        <f t="shared" si="19"/>
        <v>232.79777920000001</v>
      </c>
      <c r="K39" s="153"/>
      <c r="L39" s="154"/>
      <c r="P39" s="35" t="s">
        <v>30</v>
      </c>
      <c r="Q39" s="45">
        <f t="shared" si="21"/>
        <v>6219.3455098934546</v>
      </c>
      <c r="R39" s="30">
        <f t="shared" si="22"/>
        <v>11987.41530958904</v>
      </c>
      <c r="S39" s="177">
        <f t="shared" si="23"/>
        <v>12466.911921972604</v>
      </c>
      <c r="U39" s="63"/>
      <c r="V39" s="63"/>
      <c r="W39" s="63"/>
    </row>
    <row r="40" spans="2:27" x14ac:dyDescent="0.2">
      <c r="B40" s="35">
        <v>11</v>
      </c>
      <c r="C40" s="191">
        <f>Teplárna!J18</f>
        <v>824.2237017510929</v>
      </c>
      <c r="D40" s="31">
        <f>Teplárna!K18-'Teplárna + FVE 10 kWp'!E40</f>
        <v>195383.35082238144</v>
      </c>
      <c r="E40" s="31">
        <f t="shared" ref="E40:E49" si="24">(I40)*C40-$D$23</f>
        <v>21898.50143324169</v>
      </c>
      <c r="F40" s="43">
        <f t="shared" si="17"/>
        <v>139704.11652726022</v>
      </c>
      <c r="G40" s="64">
        <f t="shared" si="18"/>
        <v>8487.92</v>
      </c>
      <c r="H40" s="31">
        <f t="shared" si="15"/>
        <v>64739.857777777768</v>
      </c>
      <c r="I40" s="31">
        <f t="shared" si="20"/>
        <v>30.556512000000001</v>
      </c>
      <c r="J40" s="36">
        <f t="shared" si="19"/>
        <v>233.06348800000001</v>
      </c>
      <c r="K40" s="153"/>
      <c r="L40" s="154"/>
      <c r="P40" s="35" t="s">
        <v>31</v>
      </c>
      <c r="Q40" s="45">
        <f t="shared" si="21"/>
        <v>6018.7214611872141</v>
      </c>
      <c r="R40" s="30">
        <f t="shared" si="22"/>
        <v>11600.724493150685</v>
      </c>
      <c r="S40" s="177">
        <f t="shared" si="23"/>
        <v>12064.753472876713</v>
      </c>
      <c r="U40" s="63"/>
      <c r="V40" s="63"/>
      <c r="W40" s="63"/>
    </row>
    <row r="41" spans="2:27" x14ac:dyDescent="0.2">
      <c r="B41" s="35">
        <v>12</v>
      </c>
      <c r="C41" s="191">
        <f>Teplárna!J19</f>
        <v>857.1926498211368</v>
      </c>
      <c r="D41" s="31">
        <f>Teplárna!K19-'Teplárna + FVE 10 kWp'!E41</f>
        <v>203294.97248562952</v>
      </c>
      <c r="E41" s="31">
        <f t="shared" si="24"/>
        <v>22678.153860218568</v>
      </c>
      <c r="F41" s="43">
        <f t="shared" si="17"/>
        <v>162382.27038747878</v>
      </c>
      <c r="G41" s="64">
        <f t="shared" si="18"/>
        <v>8414.1119999999992</v>
      </c>
      <c r="H41" s="31">
        <f t="shared" si="15"/>
        <v>64813.665777777765</v>
      </c>
      <c r="I41" s="31">
        <f t="shared" si="20"/>
        <v>30.290803199999999</v>
      </c>
      <c r="J41" s="36">
        <f t="shared" si="19"/>
        <v>233.32919680000001</v>
      </c>
      <c r="K41" s="153"/>
      <c r="L41" s="154"/>
      <c r="P41" s="35" t="s">
        <v>32</v>
      </c>
      <c r="Q41" s="45">
        <f t="shared" si="21"/>
        <v>6219.3455098934546</v>
      </c>
      <c r="R41" s="30">
        <f t="shared" si="22"/>
        <v>11987.41530958904</v>
      </c>
      <c r="S41" s="177">
        <f t="shared" si="23"/>
        <v>12466.911921972604</v>
      </c>
      <c r="U41" s="63"/>
      <c r="V41" s="63"/>
      <c r="W41" s="63"/>
    </row>
    <row r="42" spans="2:27" x14ac:dyDescent="0.2">
      <c r="B42" s="35">
        <v>13</v>
      </c>
      <c r="C42" s="191">
        <f>Teplárna!J20</f>
        <v>891.48035581398221</v>
      </c>
      <c r="D42" s="31">
        <f>Teplárna!K20-'Teplárna + FVE 10 kWp'!E42</f>
        <v>211532.16956062161</v>
      </c>
      <c r="E42" s="31">
        <f t="shared" si="24"/>
        <v>23479.881839060403</v>
      </c>
      <c r="F42" s="43">
        <f t="shared" si="17"/>
        <v>185862.15222653918</v>
      </c>
      <c r="G42" s="64">
        <f t="shared" si="18"/>
        <v>8340.3040000000001</v>
      </c>
      <c r="H42" s="31">
        <f t="shared" si="15"/>
        <v>64887.473777777763</v>
      </c>
      <c r="I42" s="31">
        <f t="shared" si="20"/>
        <v>30.0250944</v>
      </c>
      <c r="J42" s="36">
        <f t="shared" si="19"/>
        <v>233.5949056</v>
      </c>
      <c r="K42" s="153"/>
      <c r="L42" s="154"/>
      <c r="P42" s="35" t="s">
        <v>33</v>
      </c>
      <c r="Q42" s="45">
        <f t="shared" si="21"/>
        <v>6219.3455098934546</v>
      </c>
      <c r="R42" s="30">
        <f t="shared" si="22"/>
        <v>11987.41530958904</v>
      </c>
      <c r="S42" s="177">
        <f t="shared" si="23"/>
        <v>12466.911921972604</v>
      </c>
      <c r="U42" s="63"/>
      <c r="V42" s="63"/>
      <c r="W42" s="63"/>
    </row>
    <row r="43" spans="2:27" x14ac:dyDescent="0.2">
      <c r="B43" s="35">
        <v>14</v>
      </c>
      <c r="C43" s="191">
        <f>Teplárna!J21</f>
        <v>927.13957004654151</v>
      </c>
      <c r="D43" s="31">
        <f>Teplárna!K21-'Teplárna + FVE 10 kWp'!E43</f>
        <v>220108.32948563603</v>
      </c>
      <c r="E43" s="31">
        <f t="shared" si="24"/>
        <v>24304.203970033235</v>
      </c>
      <c r="F43" s="43">
        <f t="shared" si="17"/>
        <v>210166.35619657242</v>
      </c>
      <c r="G43" s="64">
        <f t="shared" si="18"/>
        <v>8266.4959999999992</v>
      </c>
      <c r="H43" s="31">
        <f t="shared" si="15"/>
        <v>64961.281777777767</v>
      </c>
      <c r="I43" s="31">
        <f t="shared" si="20"/>
        <v>29.759385599999998</v>
      </c>
      <c r="J43" s="36">
        <f t="shared" si="19"/>
        <v>233.8606144</v>
      </c>
      <c r="K43" s="153"/>
      <c r="L43" s="154"/>
      <c r="P43" s="35" t="s">
        <v>34</v>
      </c>
      <c r="Q43" s="45">
        <f t="shared" si="21"/>
        <v>6018.7214611872141</v>
      </c>
      <c r="R43" s="30">
        <f t="shared" si="22"/>
        <v>11600.724493150685</v>
      </c>
      <c r="S43" s="177">
        <f t="shared" si="23"/>
        <v>12064.753472876713</v>
      </c>
      <c r="U43" s="63"/>
      <c r="V43" s="63"/>
      <c r="W43" s="63"/>
    </row>
    <row r="44" spans="2:27" x14ac:dyDescent="0.2">
      <c r="B44" s="35">
        <v>15</v>
      </c>
      <c r="C44" s="191">
        <f>Teplárna!J22</f>
        <v>964.22515284840313</v>
      </c>
      <c r="D44" s="31">
        <f>Teplárna!K22-'Teplárna + FVE 10 kWp'!E44</f>
        <v>229037.38977335466</v>
      </c>
      <c r="E44" s="31">
        <f t="shared" si="24"/>
        <v>25151.645020541393</v>
      </c>
      <c r="F44" s="43">
        <f t="shared" si="17"/>
        <v>235318.00121711381</v>
      </c>
      <c r="G44" s="64">
        <f t="shared" si="18"/>
        <v>8192.6879999999983</v>
      </c>
      <c r="H44" s="31">
        <f t="shared" si="15"/>
        <v>65035.089777777772</v>
      </c>
      <c r="I44" s="31">
        <f t="shared" si="20"/>
        <v>29.493676799999992</v>
      </c>
      <c r="J44" s="36">
        <f t="shared" si="19"/>
        <v>234.1263232</v>
      </c>
      <c r="K44" s="153"/>
      <c r="L44" s="154"/>
      <c r="P44" s="35" t="s">
        <v>35</v>
      </c>
      <c r="Q44" s="45">
        <f t="shared" si="21"/>
        <v>6219.3455098934546</v>
      </c>
      <c r="R44" s="30">
        <f t="shared" si="22"/>
        <v>11987.41530958904</v>
      </c>
      <c r="S44" s="177">
        <f t="shared" si="23"/>
        <v>12466.911921972604</v>
      </c>
      <c r="U44" s="63"/>
      <c r="V44" s="63"/>
      <c r="W44" s="63"/>
    </row>
    <row r="45" spans="2:27" x14ac:dyDescent="0.2">
      <c r="B45" s="35">
        <v>16</v>
      </c>
      <c r="C45" s="191">
        <f>Teplárna!J23</f>
        <v>1002.7941589623395</v>
      </c>
      <c r="D45" s="31">
        <f>Teplárna!K23-'Teplárna + FVE 10 kWp'!E45</f>
        <v>238333.86059691379</v>
      </c>
      <c r="E45" s="31">
        <f t="shared" si="24"/>
        <v>26022.735588738167</v>
      </c>
      <c r="F45" s="43">
        <f t="shared" si="17"/>
        <v>261340.73680585198</v>
      </c>
      <c r="G45" s="64">
        <f t="shared" si="18"/>
        <v>8118.8799999999992</v>
      </c>
      <c r="H45" s="31">
        <f t="shared" si="15"/>
        <v>65108.897777777769</v>
      </c>
      <c r="I45" s="31">
        <f t="shared" si="20"/>
        <v>29.227967999999997</v>
      </c>
      <c r="J45" s="36">
        <f t="shared" si="19"/>
        <v>234.392032</v>
      </c>
      <c r="K45" s="153"/>
      <c r="L45" s="154"/>
      <c r="P45" s="35" t="s">
        <v>36</v>
      </c>
      <c r="Q45" s="45">
        <f t="shared" si="21"/>
        <v>6018.7214611872141</v>
      </c>
      <c r="R45" s="30">
        <f t="shared" si="22"/>
        <v>11600.724493150685</v>
      </c>
      <c r="S45" s="177">
        <f t="shared" si="23"/>
        <v>12064.753472876713</v>
      </c>
      <c r="U45" s="63"/>
      <c r="V45" s="16"/>
      <c r="W45" s="63"/>
    </row>
    <row r="46" spans="2:27" ht="17" thickBot="1" x14ac:dyDescent="0.25">
      <c r="B46" s="35">
        <v>17</v>
      </c>
      <c r="C46" s="191">
        <f>Teplárna!J24</f>
        <v>1042.9059253208331</v>
      </c>
      <c r="D46" s="31">
        <f>Teplárna!K24-'Teplárna + FVE 10 kWp'!E46</f>
        <v>248012.84830272026</v>
      </c>
      <c r="E46" s="31">
        <f t="shared" si="24"/>
        <v>26918.011730357808</v>
      </c>
      <c r="F46" s="43">
        <f t="shared" si="17"/>
        <v>288258.74853620981</v>
      </c>
      <c r="G46" s="64">
        <f t="shared" si="18"/>
        <v>8045.0719999999992</v>
      </c>
      <c r="H46" s="31">
        <f t="shared" si="15"/>
        <v>65182.705777777766</v>
      </c>
      <c r="I46" s="31">
        <f t="shared" si="20"/>
        <v>28.962259199999998</v>
      </c>
      <c r="J46" s="36">
        <f t="shared" si="19"/>
        <v>234.6577408</v>
      </c>
      <c r="K46" s="153"/>
      <c r="L46" s="154"/>
      <c r="P46" s="55" t="s">
        <v>37</v>
      </c>
      <c r="Q46" s="56">
        <f t="shared" si="21"/>
        <v>6219.3455098934546</v>
      </c>
      <c r="R46" s="76">
        <f t="shared" si="22"/>
        <v>11987.41530958904</v>
      </c>
      <c r="S46" s="178">
        <f t="shared" si="23"/>
        <v>12466.911921972604</v>
      </c>
      <c r="U46" s="63"/>
      <c r="V46" s="63"/>
      <c r="W46" s="63"/>
    </row>
    <row r="47" spans="2:27" ht="18" thickTop="1" thickBot="1" x14ac:dyDescent="0.25">
      <c r="B47" s="35">
        <v>18</v>
      </c>
      <c r="C47" s="191">
        <f>Teplárna!J25</f>
        <v>1084.6221623336664</v>
      </c>
      <c r="D47" s="31">
        <f>Teplárna!K25-'Teplárna + FVE 10 kWp'!E47</f>
        <v>258090.0798880361</v>
      </c>
      <c r="E47" s="31">
        <f t="shared" si="24"/>
        <v>27838.014546365033</v>
      </c>
      <c r="F47" s="43">
        <f t="shared" si="17"/>
        <v>316096.76308257482</v>
      </c>
      <c r="G47" s="64">
        <f t="shared" si="18"/>
        <v>7971.2639999999992</v>
      </c>
      <c r="H47" s="31">
        <f t="shared" si="15"/>
        <v>65256.513777777771</v>
      </c>
      <c r="I47" s="31">
        <f t="shared" si="20"/>
        <v>28.696550399999996</v>
      </c>
      <c r="J47" s="36">
        <f t="shared" si="19"/>
        <v>234.9234496</v>
      </c>
      <c r="K47" s="153"/>
      <c r="L47" s="154"/>
      <c r="P47" s="52" t="s">
        <v>139</v>
      </c>
      <c r="Q47" s="53">
        <f>SUM(Q35:Q46)</f>
        <v>73227.777777777766</v>
      </c>
      <c r="R47" s="53">
        <f>SUM(R35:R46)</f>
        <v>141142.14799999999</v>
      </c>
      <c r="S47" s="54">
        <f>SUM(S35:S46)</f>
        <v>146787.83392</v>
      </c>
    </row>
    <row r="48" spans="2:27" x14ac:dyDescent="0.2">
      <c r="B48" s="35">
        <v>19</v>
      </c>
      <c r="C48" s="191">
        <f>Teplárna!J26</f>
        <v>1128.0070488270133</v>
      </c>
      <c r="D48" s="31">
        <f>Teplárna!K26-'Teplárna + FVE 10 kWp'!E48</f>
        <v>268581.92848289292</v>
      </c>
      <c r="E48" s="31">
        <f t="shared" si="24"/>
        <v>28783.289728884276</v>
      </c>
      <c r="F48" s="43">
        <f t="shared" si="17"/>
        <v>344880.05281145911</v>
      </c>
      <c r="G48" s="64">
        <f t="shared" si="18"/>
        <v>7897.4559999999992</v>
      </c>
      <c r="H48" s="31">
        <f t="shared" si="15"/>
        <v>65330.321777777768</v>
      </c>
      <c r="I48" s="31">
        <f t="shared" si="20"/>
        <v>28.430841599999997</v>
      </c>
      <c r="J48" s="36">
        <f t="shared" si="19"/>
        <v>235.1891584</v>
      </c>
      <c r="K48" s="153"/>
      <c r="L48" s="154"/>
    </row>
    <row r="49" spans="2:12" ht="17" thickBot="1" x14ac:dyDescent="0.25">
      <c r="B49" s="37">
        <v>20</v>
      </c>
      <c r="C49" s="192">
        <f>Teplárna!J27</f>
        <v>1173.1273307800936</v>
      </c>
      <c r="D49" s="39">
        <f>Teplárna!K27-'Teplárna + FVE 10 kWp'!E49</f>
        <v>279505.43987751746</v>
      </c>
      <c r="E49" s="39">
        <f t="shared" si="24"/>
        <v>29754.387062730857</v>
      </c>
      <c r="F49" s="44">
        <f t="shared" si="17"/>
        <v>374634.43987418996</v>
      </c>
      <c r="G49" s="65">
        <f t="shared" si="18"/>
        <v>7823.6479999999983</v>
      </c>
      <c r="H49" s="39">
        <f t="shared" si="15"/>
        <v>65404.129777777765</v>
      </c>
      <c r="I49" s="39">
        <f t="shared" si="20"/>
        <v>28.165132799999995</v>
      </c>
      <c r="J49" s="40">
        <f t="shared" si="19"/>
        <v>235.45486720000002</v>
      </c>
      <c r="K49" s="153"/>
      <c r="L49" s="154"/>
    </row>
    <row r="50" spans="2:12" x14ac:dyDescent="0.2">
      <c r="K50" s="153"/>
      <c r="L50" s="2"/>
    </row>
    <row r="67" spans="4:7" x14ac:dyDescent="0.2">
      <c r="D67" s="242" t="s">
        <v>131</v>
      </c>
      <c r="E67" s="242"/>
      <c r="G67" s="14"/>
    </row>
    <row r="68" spans="4:7" x14ac:dyDescent="0.2">
      <c r="D68" s="1">
        <v>1</v>
      </c>
      <c r="E68" s="1">
        <v>1</v>
      </c>
      <c r="F68">
        <f>0.2/25</f>
        <v>8.0000000000000002E-3</v>
      </c>
    </row>
    <row r="69" spans="4:7" x14ac:dyDescent="0.2">
      <c r="D69" s="1">
        <v>2</v>
      </c>
      <c r="E69" s="1">
        <f t="shared" ref="E69:E92" si="25">E68-$F$68</f>
        <v>0.99199999999999999</v>
      </c>
    </row>
    <row r="70" spans="4:7" x14ac:dyDescent="0.2">
      <c r="D70" s="1">
        <v>3</v>
      </c>
      <c r="E70" s="1">
        <f t="shared" si="25"/>
        <v>0.98399999999999999</v>
      </c>
    </row>
    <row r="71" spans="4:7" x14ac:dyDescent="0.2">
      <c r="D71" s="1">
        <v>4</v>
      </c>
      <c r="E71" s="1">
        <f t="shared" si="25"/>
        <v>0.97599999999999998</v>
      </c>
    </row>
    <row r="72" spans="4:7" x14ac:dyDescent="0.2">
      <c r="D72" s="1">
        <v>5</v>
      </c>
      <c r="E72" s="1">
        <f t="shared" si="25"/>
        <v>0.96799999999999997</v>
      </c>
    </row>
    <row r="73" spans="4:7" x14ac:dyDescent="0.2">
      <c r="D73" s="1">
        <v>6</v>
      </c>
      <c r="E73" s="1">
        <f t="shared" si="25"/>
        <v>0.96</v>
      </c>
    </row>
    <row r="74" spans="4:7" x14ac:dyDescent="0.2">
      <c r="D74" s="1">
        <v>7</v>
      </c>
      <c r="E74" s="1">
        <f t="shared" si="25"/>
        <v>0.95199999999999996</v>
      </c>
    </row>
    <row r="75" spans="4:7" x14ac:dyDescent="0.2">
      <c r="D75" s="1">
        <v>8</v>
      </c>
      <c r="E75" s="1">
        <f t="shared" si="25"/>
        <v>0.94399999999999995</v>
      </c>
    </row>
    <row r="76" spans="4:7" x14ac:dyDescent="0.2">
      <c r="D76" s="1">
        <v>9</v>
      </c>
      <c r="E76" s="1">
        <f t="shared" si="25"/>
        <v>0.93599999999999994</v>
      </c>
    </row>
    <row r="77" spans="4:7" x14ac:dyDescent="0.2">
      <c r="D77" s="1">
        <v>10</v>
      </c>
      <c r="E77" s="1">
        <f t="shared" si="25"/>
        <v>0.92799999999999994</v>
      </c>
    </row>
    <row r="78" spans="4:7" x14ac:dyDescent="0.2">
      <c r="D78" s="1">
        <v>11</v>
      </c>
      <c r="E78" s="1">
        <f t="shared" si="25"/>
        <v>0.91999999999999993</v>
      </c>
    </row>
    <row r="79" spans="4:7" x14ac:dyDescent="0.2">
      <c r="D79" s="1">
        <v>12</v>
      </c>
      <c r="E79" s="1">
        <f t="shared" si="25"/>
        <v>0.91199999999999992</v>
      </c>
    </row>
    <row r="80" spans="4:7" x14ac:dyDescent="0.2">
      <c r="D80" s="1">
        <v>13</v>
      </c>
      <c r="E80" s="1">
        <f t="shared" si="25"/>
        <v>0.90399999999999991</v>
      </c>
    </row>
    <row r="81" spans="4:5" x14ac:dyDescent="0.2">
      <c r="D81" s="1">
        <v>14</v>
      </c>
      <c r="E81" s="1">
        <f t="shared" si="25"/>
        <v>0.89599999999999991</v>
      </c>
    </row>
    <row r="82" spans="4:5" x14ac:dyDescent="0.2">
      <c r="D82" s="1">
        <v>15</v>
      </c>
      <c r="E82" s="1">
        <f t="shared" si="25"/>
        <v>0.8879999999999999</v>
      </c>
    </row>
    <row r="83" spans="4:5" x14ac:dyDescent="0.2">
      <c r="D83" s="1">
        <v>16</v>
      </c>
      <c r="E83" s="1">
        <f t="shared" si="25"/>
        <v>0.87999999999999989</v>
      </c>
    </row>
    <row r="84" spans="4:5" x14ac:dyDescent="0.2">
      <c r="D84" s="1">
        <v>17</v>
      </c>
      <c r="E84" s="1">
        <f t="shared" si="25"/>
        <v>0.87199999999999989</v>
      </c>
    </row>
    <row r="85" spans="4:5" x14ac:dyDescent="0.2">
      <c r="D85" s="1">
        <v>18</v>
      </c>
      <c r="E85" s="1">
        <f t="shared" si="25"/>
        <v>0.86399999999999988</v>
      </c>
    </row>
    <row r="86" spans="4:5" x14ac:dyDescent="0.2">
      <c r="D86" s="1">
        <v>19</v>
      </c>
      <c r="E86" s="1">
        <f t="shared" si="25"/>
        <v>0.85599999999999987</v>
      </c>
    </row>
    <row r="87" spans="4:5" x14ac:dyDescent="0.2">
      <c r="D87" s="1">
        <v>20</v>
      </c>
      <c r="E87" s="1">
        <f t="shared" si="25"/>
        <v>0.84799999999999986</v>
      </c>
    </row>
    <row r="88" spans="4:5" x14ac:dyDescent="0.2">
      <c r="D88">
        <v>21</v>
      </c>
      <c r="E88">
        <f t="shared" si="25"/>
        <v>0.83999999999999986</v>
      </c>
    </row>
    <row r="89" spans="4:5" x14ac:dyDescent="0.2">
      <c r="D89">
        <v>22</v>
      </c>
      <c r="E89">
        <f t="shared" si="25"/>
        <v>0.83199999999999985</v>
      </c>
    </row>
    <row r="90" spans="4:5" x14ac:dyDescent="0.2">
      <c r="D90">
        <v>23</v>
      </c>
      <c r="E90">
        <f t="shared" si="25"/>
        <v>0.82399999999999984</v>
      </c>
    </row>
    <row r="91" spans="4:5" x14ac:dyDescent="0.2">
      <c r="D91">
        <v>24</v>
      </c>
      <c r="E91">
        <f t="shared" si="25"/>
        <v>0.81599999999999984</v>
      </c>
    </row>
    <row r="92" spans="4:5" x14ac:dyDescent="0.2">
      <c r="D92">
        <v>25</v>
      </c>
      <c r="E92">
        <f t="shared" si="25"/>
        <v>0.80799999999999983</v>
      </c>
    </row>
  </sheetData>
  <mergeCells count="11">
    <mergeCell ref="U3:X3"/>
    <mergeCell ref="D1:E1"/>
    <mergeCell ref="F1:G1"/>
    <mergeCell ref="A2:B4"/>
    <mergeCell ref="C2:C3"/>
    <mergeCell ref="D67:E67"/>
    <mergeCell ref="P31:S31"/>
    <mergeCell ref="P32:P34"/>
    <mergeCell ref="B27:J27"/>
    <mergeCell ref="O3:T3"/>
    <mergeCell ref="C7:E7"/>
  </mergeCells>
  <hyperlinks>
    <hyperlink ref="B19" r:id="rId1"/>
    <hyperlink ref="B14" r:id="rId2"/>
    <hyperlink ref="B9" r:id="rId3"/>
    <hyperlink ref="B20" r:id="rId4"/>
  </hyperlinks>
  <pageMargins left="0.7" right="0.7" top="0.75" bottom="0.75" header="0.3" footer="0.3"/>
  <ignoredErrors>
    <ignoredError sqref="E39" formula="1"/>
  </ignoredErrors>
  <drawing r:id="rId5"/>
  <legacy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S67"/>
  <sheetViews>
    <sheetView topLeftCell="B2" workbookViewId="0">
      <selection activeCell="F31" sqref="F31"/>
    </sheetView>
  </sheetViews>
  <sheetFormatPr baseColWidth="10" defaultColWidth="11" defaultRowHeight="16" x14ac:dyDescent="0.2"/>
  <cols>
    <col min="1" max="2" width="18.33203125" bestFit="1" customWidth="1"/>
    <col min="3" max="3" width="11.1640625" customWidth="1"/>
    <col min="4" max="4" width="11.5" customWidth="1"/>
    <col min="5" max="5" width="20.1640625" bestFit="1" customWidth="1"/>
    <col min="6" max="6" width="15.1640625" bestFit="1" customWidth="1"/>
    <col min="7" max="7" width="23.6640625" bestFit="1" customWidth="1"/>
    <col min="8" max="8" width="24.5" bestFit="1" customWidth="1"/>
    <col min="10" max="10" width="15.83203125" bestFit="1" customWidth="1"/>
    <col min="11" max="11" width="15.1640625" bestFit="1" customWidth="1"/>
    <col min="13" max="13" width="15.5" bestFit="1" customWidth="1"/>
  </cols>
  <sheetData>
    <row r="5" spans="5:19" ht="17" thickBot="1" x14ac:dyDescent="0.25">
      <c r="Q5" s="5"/>
      <c r="R5" s="5"/>
      <c r="S5" s="5"/>
    </row>
    <row r="6" spans="5:19" ht="20" thickBot="1" x14ac:dyDescent="0.3">
      <c r="E6" s="272" t="s">
        <v>129</v>
      </c>
      <c r="F6" s="273"/>
      <c r="G6" s="273"/>
      <c r="H6" s="274"/>
      <c r="Q6" s="5"/>
      <c r="R6" s="5"/>
      <c r="S6" s="5"/>
    </row>
    <row r="7" spans="5:19" ht="17" thickBot="1" x14ac:dyDescent="0.25">
      <c r="E7" s="278" t="s">
        <v>0</v>
      </c>
      <c r="F7" s="275" t="s">
        <v>115</v>
      </c>
      <c r="G7" s="276"/>
      <c r="H7" s="277"/>
      <c r="I7" s="208" t="s">
        <v>74</v>
      </c>
      <c r="K7" s="51"/>
      <c r="Q7" s="5"/>
      <c r="R7" s="5"/>
      <c r="S7" s="5"/>
    </row>
    <row r="8" spans="5:19" ht="17" thickBot="1" x14ac:dyDescent="0.25">
      <c r="E8" s="279"/>
      <c r="F8" s="155" t="s">
        <v>109</v>
      </c>
      <c r="G8" s="147" t="s">
        <v>149</v>
      </c>
      <c r="H8" s="207" t="s">
        <v>150</v>
      </c>
      <c r="I8" s="209">
        <v>0.03</v>
      </c>
      <c r="Q8" s="5"/>
      <c r="R8" s="5"/>
      <c r="S8" s="5"/>
    </row>
    <row r="9" spans="5:19" x14ac:dyDescent="0.2">
      <c r="E9" s="95">
        <v>0</v>
      </c>
      <c r="F9" s="101" t="s">
        <v>116</v>
      </c>
      <c r="G9" s="101">
        <f>'Teplárna + FVE 18 kWp'!D21</f>
        <v>706947</v>
      </c>
      <c r="H9" s="105">
        <f>'Teplárna + FVE 10 kWp'!D21</f>
        <v>426563</v>
      </c>
      <c r="I9" t="s">
        <v>166</v>
      </c>
      <c r="Q9" s="5"/>
      <c r="R9" s="5"/>
      <c r="S9" s="5"/>
    </row>
    <row r="10" spans="5:19" x14ac:dyDescent="0.2">
      <c r="E10" s="35">
        <v>1</v>
      </c>
      <c r="F10" s="31">
        <f>Teplárna!K8</f>
        <v>146787.83392</v>
      </c>
      <c r="G10" s="31">
        <f>'Teplárna + FVE 18 kWp'!D29</f>
        <v>117426.2072</v>
      </c>
      <c r="H10" s="36">
        <f>'Teplárna + FVE 10 kWp'!D30</f>
        <v>131580.87002239999</v>
      </c>
      <c r="Q10" s="5"/>
      <c r="R10" s="5"/>
      <c r="S10" s="5"/>
    </row>
    <row r="11" spans="5:19" x14ac:dyDescent="0.2">
      <c r="E11" s="35">
        <v>2</v>
      </c>
      <c r="F11" s="31">
        <f>Teplárna!K9</f>
        <v>152659.34727680002</v>
      </c>
      <c r="G11" s="31">
        <f>'Teplárna + FVE 18 kWp'!D30</f>
        <v>122205.45603671041</v>
      </c>
      <c r="H11" s="36">
        <f>'Teplárna + FVE 10 kWp'!D31</f>
        <v>136866.49777092406</v>
      </c>
      <c r="Q11" s="5"/>
      <c r="R11" s="5"/>
      <c r="S11" s="5"/>
    </row>
    <row r="12" spans="5:19" x14ac:dyDescent="0.2">
      <c r="E12" s="35">
        <v>3</v>
      </c>
      <c r="F12" s="31">
        <f>Teplárna!K10</f>
        <v>158765.72116787202</v>
      </c>
      <c r="G12" s="31">
        <f>'Teplárna + FVE 18 kWp'!D31</f>
        <v>127187.34912083764</v>
      </c>
      <c r="H12" s="36">
        <f>'Teplárna + FVE 10 kWp'!D32</f>
        <v>142369.70538729418</v>
      </c>
      <c r="Q12" s="5"/>
      <c r="R12" s="5"/>
      <c r="S12" s="5"/>
    </row>
    <row r="13" spans="5:19" x14ac:dyDescent="0.2">
      <c r="E13" s="35">
        <v>4</v>
      </c>
      <c r="F13" s="31">
        <f>Teplárna!K11</f>
        <v>165116.3500145869</v>
      </c>
      <c r="G13" s="31">
        <f>'Teplárna + FVE 18 kWp'!D32</f>
        <v>132380.45119403632</v>
      </c>
      <c r="H13" s="36">
        <f>'Teplárna + FVE 10 kWp'!D33</f>
        <v>148099.44225654041</v>
      </c>
      <c r="Q13" s="5"/>
      <c r="R13" s="5"/>
      <c r="S13" s="5"/>
    </row>
    <row r="14" spans="5:19" x14ac:dyDescent="0.2">
      <c r="E14" s="35">
        <v>5</v>
      </c>
      <c r="F14" s="31">
        <f>Teplárna!K12</f>
        <v>171721.00401517039</v>
      </c>
      <c r="G14" s="31">
        <f>'Teplárna + FVE 18 kWp'!D33</f>
        <v>137793.68794649755</v>
      </c>
      <c r="H14" s="36">
        <f>'Teplárna + FVE 10 kWp'!D34</f>
        <v>154065.0255867067</v>
      </c>
      <c r="Q14" s="5"/>
      <c r="R14" s="5"/>
      <c r="S14" s="5"/>
    </row>
    <row r="15" spans="5:19" x14ac:dyDescent="0.2">
      <c r="E15" s="35">
        <v>6</v>
      </c>
      <c r="F15" s="31">
        <f>Teplárna!K13</f>
        <v>178589.84417577722</v>
      </c>
      <c r="G15" s="31">
        <f>'Teplárna + FVE 18 kWp'!D34</f>
        <v>143436.36118924525</v>
      </c>
      <c r="H15" s="36">
        <f>'Teplárna + FVE 10 kWp'!D35</f>
        <v>160276.15551567584</v>
      </c>
      <c r="Q15" s="5"/>
      <c r="R15" s="5"/>
      <c r="S15" s="5"/>
    </row>
    <row r="16" spans="5:19" x14ac:dyDescent="0.2">
      <c r="E16" s="35">
        <v>7</v>
      </c>
      <c r="F16" s="31">
        <f>Teplárna!K14</f>
        <v>185733.43794280829</v>
      </c>
      <c r="G16" s="31">
        <f>'Teplárna + FVE 18 kWp'!D35</f>
        <v>149318.16466269831</v>
      </c>
      <c r="H16" s="36">
        <f>'Teplárna + FVE 10 kWp'!D36</f>
        <v>166742.93083802372</v>
      </c>
      <c r="Q16" s="5"/>
      <c r="R16" s="5"/>
      <c r="S16" s="5"/>
    </row>
    <row r="17" spans="2:19" x14ac:dyDescent="0.2">
      <c r="E17" s="35">
        <v>8</v>
      </c>
      <c r="F17" s="31">
        <f>Teplárna!K15</f>
        <v>193162.77546052067</v>
      </c>
      <c r="G17" s="31">
        <f>'Teplárna + FVE 18 kWp'!D36</f>
        <v>155449.20050812489</v>
      </c>
      <c r="H17" s="36">
        <f>'Teplárna + FVE 10 kWp'!D37</f>
        <v>173475.86537733444</v>
      </c>
      <c r="Q17" s="5"/>
      <c r="R17" s="5"/>
      <c r="S17" s="5"/>
    </row>
    <row r="18" spans="2:19" x14ac:dyDescent="0.2">
      <c r="E18" s="35">
        <v>9</v>
      </c>
      <c r="F18" s="31">
        <f>Teplárna!K16</f>
        <v>200889.2864789415</v>
      </c>
      <c r="G18" s="31">
        <f>'Teplárna + FVE 18 kWp'!D37</f>
        <v>161839.99642972526</v>
      </c>
      <c r="H18" s="36">
        <f>'Teplárna + FVE 10 kWp'!D38</f>
        <v>180485.9050304491</v>
      </c>
      <c r="Q18" s="5"/>
      <c r="R18" s="5"/>
      <c r="S18" s="5"/>
    </row>
    <row r="19" spans="2:19" x14ac:dyDescent="0.2">
      <c r="E19" s="35">
        <v>10</v>
      </c>
      <c r="F19" s="31">
        <f>Teplárna!K17</f>
        <v>208924.85793809916</v>
      </c>
      <c r="G19" s="31">
        <f>'Teplárna + FVE 18 kWp'!D38</f>
        <v>292197.52357624064</v>
      </c>
      <c r="H19" s="36">
        <f>'Teplárna + FVE 10 kWp'!D39</f>
        <v>250582.44551120923</v>
      </c>
      <c r="I19" t="s">
        <v>145</v>
      </c>
      <c r="Q19" s="5"/>
      <c r="R19" s="5"/>
      <c r="S19" s="5"/>
    </row>
    <row r="20" spans="2:19" x14ac:dyDescent="0.2">
      <c r="E20" s="35">
        <v>11</v>
      </c>
      <c r="F20" s="31">
        <f>Teplárna!K18</f>
        <v>217281.85225562312</v>
      </c>
      <c r="G20" s="31">
        <f>'Teplárna + FVE 18 kWp'!D39</f>
        <v>175445.21517218967</v>
      </c>
      <c r="H20" s="36">
        <f>'Teplárna + FVE 10 kWp'!D40</f>
        <v>195383.35082238144</v>
      </c>
      <c r="R20" s="5"/>
      <c r="S20" s="5"/>
    </row>
    <row r="21" spans="2:19" x14ac:dyDescent="0.2">
      <c r="E21" s="35">
        <v>12</v>
      </c>
      <c r="F21" s="31">
        <f>Teplárna!K19</f>
        <v>225973.12634584808</v>
      </c>
      <c r="G21" s="31">
        <f>'Teplárna + FVE 18 kWp'!D40</f>
        <v>182682.98593009269</v>
      </c>
      <c r="H21" s="36">
        <f>'Teplárna + FVE 10 kWp'!D41</f>
        <v>203294.97248562952</v>
      </c>
      <c r="R21" s="5"/>
      <c r="S21" s="5"/>
    </row>
    <row r="22" spans="2:19" x14ac:dyDescent="0.2">
      <c r="E22" s="35">
        <v>13</v>
      </c>
      <c r="F22" s="31">
        <f>Teplárna!K20</f>
        <v>235012.05139968201</v>
      </c>
      <c r="G22" s="31">
        <f>'Teplárna + FVE 18 kWp'!D41</f>
        <v>190227.2522763524</v>
      </c>
      <c r="H22" s="36">
        <f>'Teplárna + FVE 10 kWp'!D42</f>
        <v>211532.16956062161</v>
      </c>
      <c r="K22" s="21"/>
      <c r="R22" s="5"/>
      <c r="S22" s="5"/>
    </row>
    <row r="23" spans="2:19" x14ac:dyDescent="0.2">
      <c r="E23" s="35">
        <v>14</v>
      </c>
      <c r="F23" s="31">
        <f>Teplárna!K21</f>
        <v>244412.53345566927</v>
      </c>
      <c r="G23" s="31">
        <f>'Teplárna + FVE 18 kWp'!D42</f>
        <v>198090.95342482472</v>
      </c>
      <c r="H23" s="36">
        <f>'Teplárna + FVE 10 kWp'!D43</f>
        <v>220108.32948563603</v>
      </c>
      <c r="J23" s="21"/>
      <c r="K23" s="21"/>
      <c r="R23" s="5"/>
      <c r="S23" s="5"/>
    </row>
    <row r="24" spans="2:19" x14ac:dyDescent="0.2">
      <c r="E24" s="35">
        <v>15</v>
      </c>
      <c r="F24" s="31">
        <f>Teplárna!K22</f>
        <v>254189.03479389605</v>
      </c>
      <c r="G24" s="31">
        <f>'Teplárna + FVE 18 kWp'!D43</f>
        <v>206287.57333353272</v>
      </c>
      <c r="H24" s="36">
        <f>'Teplárna + FVE 10 kWp'!D44</f>
        <v>229037.38977335466</v>
      </c>
      <c r="J24" s="21"/>
      <c r="K24" s="27"/>
      <c r="R24" s="5"/>
      <c r="S24" s="5"/>
    </row>
    <row r="25" spans="2:19" x14ac:dyDescent="0.2">
      <c r="E25" s="35">
        <v>16</v>
      </c>
      <c r="F25" s="31">
        <f>Teplárna!K23</f>
        <v>264356.59618565196</v>
      </c>
      <c r="G25" s="31">
        <f>'Teplárna + FVE 18 kWp'!D44</f>
        <v>214831.16358145769</v>
      </c>
      <c r="H25" s="36">
        <f>'Teplárna + FVE 10 kWp'!D45</f>
        <v>238333.86059691379</v>
      </c>
      <c r="J25" s="21"/>
      <c r="K25" s="27"/>
      <c r="R25" s="5"/>
      <c r="S25" s="5"/>
    </row>
    <row r="26" spans="2:19" x14ac:dyDescent="0.2">
      <c r="E26" s="35">
        <v>17</v>
      </c>
      <c r="F26" s="31">
        <f>Teplárna!K24</f>
        <v>274930.86003307806</v>
      </c>
      <c r="G26" s="31">
        <f>'Teplárna + FVE 18 kWp'!D45</f>
        <v>223736.36720388292</v>
      </c>
      <c r="H26" s="36">
        <f>'Teplárna + FVE 10 kWp'!D46</f>
        <v>248012.84830272026</v>
      </c>
      <c r="J26" s="63"/>
      <c r="K26" s="27"/>
      <c r="R26" s="5"/>
      <c r="S26" s="5"/>
    </row>
    <row r="27" spans="2:19" x14ac:dyDescent="0.2">
      <c r="E27" s="35">
        <v>18</v>
      </c>
      <c r="F27" s="31">
        <f>Teplárna!K25</f>
        <v>285928.09443440114</v>
      </c>
      <c r="G27" s="31">
        <f>'Teplárna + FVE 18 kWp'!D46</f>
        <v>233018.44352637179</v>
      </c>
      <c r="H27" s="36">
        <f>'Teplárna + FVE 10 kWp'!D47</f>
        <v>258090.0798880361</v>
      </c>
      <c r="J27" s="21"/>
      <c r="K27" s="27"/>
      <c r="R27" s="5"/>
      <c r="S27" s="5"/>
    </row>
    <row r="28" spans="2:19" x14ac:dyDescent="0.2">
      <c r="B28" s="21"/>
      <c r="C28" s="27"/>
      <c r="E28" s="144">
        <v>19</v>
      </c>
      <c r="F28" s="145">
        <f>Teplárna!K26</f>
        <v>297365.21821177722</v>
      </c>
      <c r="G28" s="31">
        <f>'Teplárna + FVE 18 kWp'!D47</f>
        <v>242693.29403913365</v>
      </c>
      <c r="H28" s="36">
        <f>'Teplárna + FVE 10 kWp'!D48</f>
        <v>268581.92848289292</v>
      </c>
      <c r="J28" s="21"/>
      <c r="K28" s="27"/>
    </row>
    <row r="29" spans="2:19" ht="17" thickBot="1" x14ac:dyDescent="0.25">
      <c r="B29" s="21"/>
      <c r="C29" s="27"/>
      <c r="E29" s="144">
        <v>20</v>
      </c>
      <c r="F29" s="145">
        <f>Teplárna!K27</f>
        <v>309259.82694024831</v>
      </c>
      <c r="G29" s="31">
        <f>'Teplárna + FVE 18 kWp'!D48</f>
        <v>252777.48935527424</v>
      </c>
      <c r="H29" s="36">
        <f>'Teplárna + FVE 10 kWp'!D49</f>
        <v>279505.43987751746</v>
      </c>
      <c r="J29" s="21"/>
      <c r="K29" s="27"/>
    </row>
    <row r="30" spans="2:19" ht="17" thickBot="1" x14ac:dyDescent="0.25">
      <c r="B30" s="21"/>
      <c r="C30" s="27"/>
      <c r="E30" s="157" t="s">
        <v>1</v>
      </c>
      <c r="F30" s="156">
        <f>NPV($I$8,F10:F29)/1000</f>
        <v>3129.1020717504312</v>
      </c>
      <c r="G30" s="156">
        <f>(NPV($I$8,G10:G29)+G9)/1000</f>
        <v>3326.9811627991221</v>
      </c>
      <c r="H30" s="187">
        <f>(NPV($I$8,H10:H29)+H9)/1000</f>
        <v>3288.031096695433</v>
      </c>
      <c r="I30" s="188" t="s">
        <v>180</v>
      </c>
      <c r="J30" s="21"/>
      <c r="K30" s="27"/>
      <c r="M30" s="210"/>
    </row>
    <row r="31" spans="2:19" ht="17" thickBot="1" x14ac:dyDescent="0.25">
      <c r="B31" s="21"/>
      <c r="C31" s="27"/>
      <c r="E31" s="158" t="s">
        <v>118</v>
      </c>
      <c r="F31" s="160">
        <f>F30/'Teplárna + FVE 18 kWp'!AH6*1000</f>
        <v>797.83328235908971</v>
      </c>
      <c r="G31" s="161">
        <f>G30/'Teplárna + FVE 18 kWp'!$AH$6*1000</f>
        <v>848.28690167272703</v>
      </c>
      <c r="H31" s="162">
        <f>H30/'Teplárna + FVE 18 kWp'!$AH$6*1000</f>
        <v>838.35572704977017</v>
      </c>
      <c r="I31" s="159" t="s">
        <v>117</v>
      </c>
      <c r="J31" s="21"/>
      <c r="K31" s="27"/>
    </row>
    <row r="32" spans="2:19" x14ac:dyDescent="0.2">
      <c r="B32" s="21"/>
      <c r="C32" s="27"/>
      <c r="J32" s="21"/>
      <c r="K32" s="27"/>
    </row>
    <row r="33" spans="2:11" x14ac:dyDescent="0.2">
      <c r="B33" s="21"/>
      <c r="C33" s="27"/>
      <c r="J33" s="21"/>
      <c r="K33" s="27"/>
    </row>
    <row r="34" spans="2:11" x14ac:dyDescent="0.2">
      <c r="B34" s="21"/>
      <c r="C34" s="27"/>
      <c r="J34" s="21"/>
      <c r="K34" s="27"/>
    </row>
    <row r="35" spans="2:11" x14ac:dyDescent="0.2">
      <c r="B35" s="21"/>
      <c r="C35" s="27"/>
      <c r="J35" s="21"/>
      <c r="K35" s="27"/>
    </row>
    <row r="36" spans="2:11" x14ac:dyDescent="0.2">
      <c r="B36" s="21"/>
      <c r="C36" s="27"/>
      <c r="J36" s="21"/>
      <c r="K36" s="27"/>
    </row>
    <row r="37" spans="2:11" x14ac:dyDescent="0.2">
      <c r="B37" s="21"/>
      <c r="C37" s="27"/>
      <c r="J37" s="21"/>
      <c r="K37" s="27"/>
    </row>
    <row r="38" spans="2:11" x14ac:dyDescent="0.2">
      <c r="B38" s="21"/>
      <c r="C38" s="27"/>
      <c r="J38" s="21"/>
      <c r="K38" s="27"/>
    </row>
    <row r="39" spans="2:11" x14ac:dyDescent="0.2">
      <c r="B39" s="21"/>
      <c r="C39" s="27"/>
      <c r="D39" s="21"/>
      <c r="J39" s="21"/>
      <c r="K39" s="27"/>
    </row>
    <row r="40" spans="2:11" x14ac:dyDescent="0.2">
      <c r="B40" s="21"/>
      <c r="C40" s="27"/>
      <c r="D40" s="24"/>
      <c r="J40" s="21"/>
      <c r="K40" s="27"/>
    </row>
    <row r="41" spans="2:11" x14ac:dyDescent="0.2">
      <c r="B41" s="21"/>
      <c r="C41" s="27"/>
      <c r="D41" s="24"/>
      <c r="J41" s="21"/>
      <c r="K41" s="27"/>
    </row>
    <row r="42" spans="2:11" x14ac:dyDescent="0.2">
      <c r="B42" s="21"/>
      <c r="C42" s="27"/>
      <c r="D42" s="24"/>
      <c r="J42" s="21"/>
      <c r="K42" s="27"/>
    </row>
    <row r="43" spans="2:11" x14ac:dyDescent="0.2">
      <c r="B43" s="21"/>
      <c r="C43" s="27"/>
      <c r="D43" s="24"/>
      <c r="J43" s="21"/>
      <c r="K43" s="27"/>
    </row>
    <row r="44" spans="2:11" x14ac:dyDescent="0.2">
      <c r="B44" s="21"/>
      <c r="C44" s="27"/>
      <c r="D44" s="24"/>
      <c r="J44" s="21"/>
      <c r="K44" s="27"/>
    </row>
    <row r="45" spans="2:11" x14ac:dyDescent="0.2">
      <c r="D45" s="24"/>
    </row>
    <row r="46" spans="2:11" x14ac:dyDescent="0.2">
      <c r="D46" s="24"/>
    </row>
    <row r="47" spans="2:11" x14ac:dyDescent="0.2">
      <c r="D47" s="24"/>
    </row>
    <row r="48" spans="2:11" x14ac:dyDescent="0.2">
      <c r="D48" s="24"/>
    </row>
    <row r="49" spans="3:4" x14ac:dyDescent="0.2">
      <c r="D49" s="24"/>
    </row>
    <row r="50" spans="3:4" x14ac:dyDescent="0.2">
      <c r="D50" s="24"/>
    </row>
    <row r="51" spans="3:4" x14ac:dyDescent="0.2">
      <c r="C51" s="1"/>
      <c r="D51" s="25"/>
    </row>
    <row r="52" spans="3:4" x14ac:dyDescent="0.2">
      <c r="D52" s="24"/>
    </row>
    <row r="53" spans="3:4" x14ac:dyDescent="0.2">
      <c r="D53" s="24"/>
    </row>
    <row r="54" spans="3:4" x14ac:dyDescent="0.2">
      <c r="D54" s="24"/>
    </row>
    <row r="55" spans="3:4" x14ac:dyDescent="0.2">
      <c r="D55" s="24"/>
    </row>
    <row r="56" spans="3:4" x14ac:dyDescent="0.2">
      <c r="D56" s="24"/>
    </row>
    <row r="57" spans="3:4" x14ac:dyDescent="0.2">
      <c r="D57" s="24"/>
    </row>
    <row r="58" spans="3:4" x14ac:dyDescent="0.2">
      <c r="D58" s="24"/>
    </row>
    <row r="59" spans="3:4" x14ac:dyDescent="0.2">
      <c r="D59" s="24"/>
    </row>
    <row r="67" spans="8:8" x14ac:dyDescent="0.2">
      <c r="H67" s="3"/>
    </row>
  </sheetData>
  <mergeCells count="3">
    <mergeCell ref="E6:H6"/>
    <mergeCell ref="F7:H7"/>
    <mergeCell ref="E7:E8"/>
  </mergeCells>
  <phoneticPr fontId="16" type="noConversion"/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5"/>
  <sheetViews>
    <sheetView tabSelected="1" topLeftCell="A4" workbookViewId="0">
      <selection activeCell="I7" sqref="I7"/>
    </sheetView>
  </sheetViews>
  <sheetFormatPr baseColWidth="10" defaultColWidth="11" defaultRowHeight="16" x14ac:dyDescent="0.2"/>
  <cols>
    <col min="1" max="1" width="25.33203125" bestFit="1" customWidth="1"/>
    <col min="2" max="2" width="20.5" bestFit="1" customWidth="1"/>
    <col min="3" max="3" width="18.6640625" bestFit="1" customWidth="1"/>
    <col min="4" max="4" width="24.5" bestFit="1" customWidth="1"/>
    <col min="5" max="5" width="22.6640625" bestFit="1" customWidth="1"/>
    <col min="6" max="6" width="15" bestFit="1" customWidth="1"/>
    <col min="11" max="11" width="12.5" bestFit="1" customWidth="1"/>
    <col min="12" max="12" width="18.6640625" bestFit="1" customWidth="1"/>
    <col min="13" max="13" width="24.5" bestFit="1" customWidth="1"/>
    <col min="14" max="14" width="22.6640625" bestFit="1" customWidth="1"/>
    <col min="15" max="15" width="15" bestFit="1" customWidth="1"/>
  </cols>
  <sheetData>
    <row r="1" spans="1:15" x14ac:dyDescent="0.2">
      <c r="A1" t="s">
        <v>75</v>
      </c>
      <c r="B1" s="23">
        <f>Teplárna!C2</f>
        <v>263.62</v>
      </c>
      <c r="C1" t="s">
        <v>76</v>
      </c>
      <c r="D1" t="s">
        <v>80</v>
      </c>
      <c r="E1">
        <f>B1/12</f>
        <v>21.968333333333334</v>
      </c>
    </row>
    <row r="3" spans="1:15" ht="17" thickBot="1" x14ac:dyDescent="0.25"/>
    <row r="4" spans="1:15" ht="17" thickBot="1" x14ac:dyDescent="0.25">
      <c r="B4" s="280" t="s">
        <v>150</v>
      </c>
      <c r="C4" s="281"/>
      <c r="D4" s="281"/>
      <c r="E4" s="281"/>
      <c r="F4" s="282"/>
      <c r="K4" s="280" t="s">
        <v>149</v>
      </c>
      <c r="L4" s="281"/>
      <c r="M4" s="281"/>
      <c r="N4" s="281"/>
      <c r="O4" s="282"/>
    </row>
    <row r="5" spans="1:15" ht="17" thickBot="1" x14ac:dyDescent="0.25">
      <c r="B5" s="146" t="s">
        <v>25</v>
      </c>
      <c r="C5" s="148" t="s">
        <v>86</v>
      </c>
      <c r="D5" s="148" t="s">
        <v>83</v>
      </c>
      <c r="E5" s="148" t="s">
        <v>111</v>
      </c>
      <c r="F5" s="149" t="s">
        <v>112</v>
      </c>
      <c r="G5" s="19"/>
      <c r="K5" s="204" t="s">
        <v>25</v>
      </c>
      <c r="L5" s="205" t="s">
        <v>86</v>
      </c>
      <c r="M5" s="205" t="s">
        <v>163</v>
      </c>
      <c r="N5" s="205" t="s">
        <v>164</v>
      </c>
      <c r="O5" s="206" t="s">
        <v>112</v>
      </c>
    </row>
    <row r="6" spans="1:15" x14ac:dyDescent="0.2">
      <c r="B6" s="95" t="s">
        <v>26</v>
      </c>
      <c r="C6" s="93">
        <f>$C$28+2.23</f>
        <v>25.66288888888889</v>
      </c>
      <c r="D6" s="84">
        <v>256</v>
      </c>
      <c r="E6" s="93">
        <f>(D6*3.6)/1000</f>
        <v>0.92159999999999997</v>
      </c>
      <c r="F6" s="94">
        <f>C6-E6</f>
        <v>24.741288888888889</v>
      </c>
      <c r="K6" s="95" t="s">
        <v>26</v>
      </c>
      <c r="L6" s="93">
        <f>$C$28+2.23</f>
        <v>25.66288888888889</v>
      </c>
      <c r="M6" s="84">
        <v>461</v>
      </c>
      <c r="N6" s="93">
        <f>(M6*3.6)/1000</f>
        <v>1.6596000000000002</v>
      </c>
      <c r="O6" s="94">
        <f>L6-N6</f>
        <v>24.003288888888889</v>
      </c>
    </row>
    <row r="7" spans="1:15" x14ac:dyDescent="0.2">
      <c r="B7" s="35" t="s">
        <v>27</v>
      </c>
      <c r="C7" s="45">
        <f>$C$28-0.23</f>
        <v>23.202888888888889</v>
      </c>
      <c r="D7" s="29">
        <v>454</v>
      </c>
      <c r="E7" s="45">
        <f t="shared" ref="E7:E17" si="0">D7*3.6/1000</f>
        <v>1.6344000000000001</v>
      </c>
      <c r="F7" s="49">
        <f t="shared" ref="F7:F17" si="1">C7-E7</f>
        <v>21.56848888888889</v>
      </c>
      <c r="K7" s="35" t="s">
        <v>27</v>
      </c>
      <c r="L7" s="45">
        <f>$C$28-0.23</f>
        <v>23.202888888888889</v>
      </c>
      <c r="M7" s="29">
        <v>818</v>
      </c>
      <c r="N7" s="45">
        <f t="shared" ref="N7:N17" si="2">M7*3.6/1000</f>
        <v>2.9448000000000003</v>
      </c>
      <c r="O7" s="49">
        <f t="shared" ref="O7:O17" si="3">L7-N7</f>
        <v>20.258088888888889</v>
      </c>
    </row>
    <row r="8" spans="1:15" x14ac:dyDescent="0.2">
      <c r="B8" s="35" t="s">
        <v>28</v>
      </c>
      <c r="C8" s="45">
        <f>$C$28+0.98</f>
        <v>24.41288888888889</v>
      </c>
      <c r="D8" s="29">
        <v>876</v>
      </c>
      <c r="E8" s="45">
        <f t="shared" si="0"/>
        <v>3.1536</v>
      </c>
      <c r="F8" s="49">
        <f t="shared" si="1"/>
        <v>21.259288888888889</v>
      </c>
      <c r="K8" s="35" t="s">
        <v>28</v>
      </c>
      <c r="L8" s="45">
        <f>$C$28+0.98</f>
        <v>24.41288888888889</v>
      </c>
      <c r="M8" s="29">
        <v>1580</v>
      </c>
      <c r="N8" s="45">
        <f t="shared" si="2"/>
        <v>5.6879999999999997</v>
      </c>
      <c r="O8" s="49">
        <f t="shared" si="3"/>
        <v>18.724888888888891</v>
      </c>
    </row>
    <row r="9" spans="1:15" x14ac:dyDescent="0.2">
      <c r="B9" s="35" t="s">
        <v>29</v>
      </c>
      <c r="C9" s="45">
        <f>$C$28-0.98</f>
        <v>22.452888888888889</v>
      </c>
      <c r="D9" s="29">
        <v>1110</v>
      </c>
      <c r="E9" s="45">
        <f t="shared" si="0"/>
        <v>3.996</v>
      </c>
      <c r="F9" s="49">
        <f t="shared" si="1"/>
        <v>18.456888888888891</v>
      </c>
      <c r="K9" s="35" t="s">
        <v>29</v>
      </c>
      <c r="L9" s="45">
        <f>$C$28-0.98</f>
        <v>22.452888888888889</v>
      </c>
      <c r="M9" s="29">
        <v>2010</v>
      </c>
      <c r="N9" s="45">
        <f t="shared" si="2"/>
        <v>7.2359999999999998</v>
      </c>
      <c r="O9" s="49">
        <f t="shared" si="3"/>
        <v>15.216888888888889</v>
      </c>
    </row>
    <row r="10" spans="1:15" x14ac:dyDescent="0.2">
      <c r="B10" s="35" t="s">
        <v>30</v>
      </c>
      <c r="C10" s="45">
        <f>$C$28-2</f>
        <v>21.43288888888889</v>
      </c>
      <c r="D10" s="29">
        <v>1160</v>
      </c>
      <c r="E10" s="45">
        <f t="shared" si="0"/>
        <v>4.1760000000000002</v>
      </c>
      <c r="F10" s="49">
        <f t="shared" si="1"/>
        <v>17.256888888888888</v>
      </c>
      <c r="K10" s="35" t="s">
        <v>30</v>
      </c>
      <c r="L10" s="45">
        <f>$C$28-2</f>
        <v>21.43288888888889</v>
      </c>
      <c r="M10" s="29">
        <v>2090</v>
      </c>
      <c r="N10" s="45">
        <f t="shared" si="2"/>
        <v>7.524</v>
      </c>
      <c r="O10" s="49">
        <f t="shared" si="3"/>
        <v>13.908888888888889</v>
      </c>
    </row>
    <row r="11" spans="1:15" x14ac:dyDescent="0.2">
      <c r="B11" s="35" t="s">
        <v>31</v>
      </c>
      <c r="C11" s="45">
        <f>$C$21+2</f>
        <v>19.574666666666669</v>
      </c>
      <c r="D11" s="29">
        <v>1160</v>
      </c>
      <c r="E11" s="45">
        <f t="shared" si="0"/>
        <v>4.1760000000000002</v>
      </c>
      <c r="F11" s="49">
        <f t="shared" si="1"/>
        <v>15.398666666666669</v>
      </c>
      <c r="K11" s="35" t="s">
        <v>31</v>
      </c>
      <c r="L11" s="45">
        <f>$C$21+2</f>
        <v>19.574666666666669</v>
      </c>
      <c r="M11" s="29">
        <v>2100</v>
      </c>
      <c r="N11" s="45">
        <f t="shared" si="2"/>
        <v>7.56</v>
      </c>
      <c r="O11" s="49">
        <f t="shared" si="3"/>
        <v>12.01466666666667</v>
      </c>
    </row>
    <row r="12" spans="1:15" x14ac:dyDescent="0.2">
      <c r="B12" s="35" t="s">
        <v>32</v>
      </c>
      <c r="C12" s="45">
        <f>$C$21-1.5</f>
        <v>16.074666666666669</v>
      </c>
      <c r="D12" s="29">
        <v>1140</v>
      </c>
      <c r="E12" s="45">
        <f t="shared" si="0"/>
        <v>4.1040000000000001</v>
      </c>
      <c r="F12" s="49">
        <f t="shared" si="1"/>
        <v>11.97066666666667</v>
      </c>
      <c r="K12" s="35" t="s">
        <v>32</v>
      </c>
      <c r="L12" s="45">
        <f>$C$21-1.5</f>
        <v>16.074666666666669</v>
      </c>
      <c r="M12" s="29">
        <v>2050</v>
      </c>
      <c r="N12" s="45">
        <f t="shared" si="2"/>
        <v>7.38</v>
      </c>
      <c r="O12" s="49">
        <f t="shared" si="3"/>
        <v>8.6946666666666701</v>
      </c>
    </row>
    <row r="13" spans="1:15" x14ac:dyDescent="0.2">
      <c r="B13" s="35" t="s">
        <v>33</v>
      </c>
      <c r="C13" s="45">
        <f>$C$21-1.5</f>
        <v>16.074666666666669</v>
      </c>
      <c r="D13" s="29">
        <v>1090</v>
      </c>
      <c r="E13" s="45">
        <f t="shared" si="0"/>
        <v>3.9239999999999999</v>
      </c>
      <c r="F13" s="49">
        <f t="shared" si="1"/>
        <v>12.15066666666667</v>
      </c>
      <c r="K13" s="35" t="s">
        <v>33</v>
      </c>
      <c r="L13" s="45">
        <f>$C$21-1.5</f>
        <v>16.074666666666669</v>
      </c>
      <c r="M13" s="29">
        <v>1960</v>
      </c>
      <c r="N13" s="45">
        <f t="shared" si="2"/>
        <v>7.056</v>
      </c>
      <c r="O13" s="49">
        <f t="shared" si="3"/>
        <v>9.0186666666666682</v>
      </c>
    </row>
    <row r="14" spans="1:15" x14ac:dyDescent="0.2">
      <c r="B14" s="35" t="s">
        <v>34</v>
      </c>
      <c r="C14" s="45">
        <f>$C$28-1.23</f>
        <v>22.202888888888889</v>
      </c>
      <c r="D14" s="29">
        <v>858</v>
      </c>
      <c r="E14" s="45">
        <f t="shared" si="0"/>
        <v>3.0888</v>
      </c>
      <c r="F14" s="49">
        <f t="shared" si="1"/>
        <v>19.11408888888889</v>
      </c>
      <c r="K14" s="35" t="s">
        <v>34</v>
      </c>
      <c r="L14" s="45">
        <f>$C$28-1.23</f>
        <v>22.202888888888889</v>
      </c>
      <c r="M14" s="29">
        <v>1540</v>
      </c>
      <c r="N14" s="45">
        <f t="shared" si="2"/>
        <v>5.5439999999999996</v>
      </c>
      <c r="O14" s="49">
        <f t="shared" si="3"/>
        <v>16.658888888888889</v>
      </c>
    </row>
    <row r="15" spans="1:15" x14ac:dyDescent="0.2">
      <c r="B15" s="35" t="s">
        <v>35</v>
      </c>
      <c r="C15" s="45">
        <f>$C$28-1</f>
        <v>22.43288888888889</v>
      </c>
      <c r="D15" s="29">
        <v>622</v>
      </c>
      <c r="E15" s="45">
        <f t="shared" si="0"/>
        <v>2.2392000000000003</v>
      </c>
      <c r="F15" s="49">
        <f t="shared" si="1"/>
        <v>20.193688888888889</v>
      </c>
      <c r="K15" s="35" t="s">
        <v>35</v>
      </c>
      <c r="L15" s="45">
        <f>$C$28-1</f>
        <v>22.43288888888889</v>
      </c>
      <c r="M15" s="29">
        <v>1120</v>
      </c>
      <c r="N15" s="45">
        <f t="shared" si="2"/>
        <v>4.032</v>
      </c>
      <c r="O15" s="49">
        <f t="shared" si="3"/>
        <v>18.40088888888889</v>
      </c>
    </row>
    <row r="16" spans="1:15" x14ac:dyDescent="0.2">
      <c r="B16" s="35" t="s">
        <v>36</v>
      </c>
      <c r="C16" s="45">
        <f>$C$28+1</f>
        <v>24.43288888888889</v>
      </c>
      <c r="D16" s="29">
        <v>277</v>
      </c>
      <c r="E16" s="45">
        <f t="shared" si="0"/>
        <v>0.99720000000000009</v>
      </c>
      <c r="F16" s="49">
        <f t="shared" si="1"/>
        <v>23.43568888888889</v>
      </c>
      <c r="K16" s="35" t="s">
        <v>36</v>
      </c>
      <c r="L16" s="45">
        <f>$C$28+1</f>
        <v>24.43288888888889</v>
      </c>
      <c r="M16" s="29">
        <v>498</v>
      </c>
      <c r="N16" s="45">
        <f t="shared" si="2"/>
        <v>1.7927999999999999</v>
      </c>
      <c r="O16" s="49">
        <f t="shared" si="3"/>
        <v>22.64008888888889</v>
      </c>
    </row>
    <row r="17" spans="2:15" ht="17" thickBot="1" x14ac:dyDescent="0.25">
      <c r="B17" s="55" t="s">
        <v>37</v>
      </c>
      <c r="C17" s="56">
        <f>$C$28+2.23</f>
        <v>25.66288888888889</v>
      </c>
      <c r="D17" s="57">
        <v>223</v>
      </c>
      <c r="E17" s="56">
        <f t="shared" si="0"/>
        <v>0.80280000000000007</v>
      </c>
      <c r="F17" s="58">
        <f t="shared" si="1"/>
        <v>24.860088888888889</v>
      </c>
      <c r="K17" s="55" t="s">
        <v>37</v>
      </c>
      <c r="L17" s="56">
        <f>$C$28+2.23</f>
        <v>25.66288888888889</v>
      </c>
      <c r="M17" s="57">
        <v>402</v>
      </c>
      <c r="N17" s="56">
        <f t="shared" si="2"/>
        <v>1.4472</v>
      </c>
      <c r="O17" s="58">
        <f t="shared" si="3"/>
        <v>24.215688888888891</v>
      </c>
    </row>
    <row r="18" spans="2:15" ht="18" thickTop="1" thickBot="1" x14ac:dyDescent="0.25">
      <c r="B18" s="52" t="s">
        <v>85</v>
      </c>
      <c r="C18" s="53">
        <f>SUM(C6:C17)</f>
        <v>263.62000000000006</v>
      </c>
      <c r="D18" s="53">
        <f>SUM(D6:D17)</f>
        <v>9226</v>
      </c>
      <c r="E18" s="53">
        <f>SUM(E6:E17)</f>
        <v>33.2136</v>
      </c>
      <c r="F18" s="54">
        <f>SUM(F6:F17)</f>
        <v>230.40639999999999</v>
      </c>
      <c r="K18" s="52" t="s">
        <v>85</v>
      </c>
      <c r="L18" s="53">
        <f>SUM(L6:L17)</f>
        <v>263.62000000000006</v>
      </c>
      <c r="M18" s="53">
        <f>SUM(M6:M17)</f>
        <v>16629</v>
      </c>
      <c r="N18" s="53">
        <f>SUM(N6:N17)</f>
        <v>59.864399999999996</v>
      </c>
      <c r="O18" s="54">
        <f>SUM(O6:O17)</f>
        <v>203.75560000000002</v>
      </c>
    </row>
    <row r="21" spans="2:15" x14ac:dyDescent="0.2">
      <c r="B21" t="s">
        <v>78</v>
      </c>
      <c r="C21">
        <f>E1*0.8</f>
        <v>17.574666666666669</v>
      </c>
      <c r="I21" s="71"/>
      <c r="J21" s="19"/>
    </row>
    <row r="22" spans="2:15" x14ac:dyDescent="0.2">
      <c r="B22" t="s">
        <v>77</v>
      </c>
      <c r="C22">
        <f>E1*0.2</f>
        <v>4.3936666666666673</v>
      </c>
      <c r="I22" s="71"/>
    </row>
    <row r="23" spans="2:15" x14ac:dyDescent="0.2">
      <c r="I23" s="71"/>
    </row>
    <row r="24" spans="2:15" x14ac:dyDescent="0.2">
      <c r="B24" t="s">
        <v>79</v>
      </c>
      <c r="C24">
        <f>3*C22</f>
        <v>13.181000000000001</v>
      </c>
      <c r="I24" s="71"/>
    </row>
    <row r="25" spans="2:15" x14ac:dyDescent="0.2">
      <c r="I25" s="71"/>
    </row>
    <row r="26" spans="2:15" x14ac:dyDescent="0.2">
      <c r="B26" t="s">
        <v>81</v>
      </c>
      <c r="C26">
        <f>C24/9</f>
        <v>1.4645555555555556</v>
      </c>
      <c r="I26" s="71"/>
    </row>
    <row r="27" spans="2:15" x14ac:dyDescent="0.2">
      <c r="I27" s="71"/>
    </row>
    <row r="28" spans="2:15" x14ac:dyDescent="0.2">
      <c r="B28" t="s">
        <v>82</v>
      </c>
      <c r="C28">
        <f>E1+C26</f>
        <v>23.43288888888889</v>
      </c>
      <c r="I28" s="71"/>
    </row>
    <row r="29" spans="2:15" x14ac:dyDescent="0.2">
      <c r="I29" s="71"/>
    </row>
    <row r="30" spans="2:15" x14ac:dyDescent="0.2">
      <c r="I30" s="71"/>
    </row>
    <row r="31" spans="2:15" x14ac:dyDescent="0.2">
      <c r="I31" s="71"/>
    </row>
    <row r="32" spans="2:15" x14ac:dyDescent="0.2">
      <c r="I32" s="71"/>
    </row>
    <row r="33" spans="2:9" x14ac:dyDescent="0.2">
      <c r="I33" s="71"/>
    </row>
    <row r="34" spans="2:9" x14ac:dyDescent="0.2">
      <c r="I34" s="114"/>
    </row>
    <row r="41" spans="2:9" x14ac:dyDescent="0.2">
      <c r="B41" s="113"/>
      <c r="C41" s="114"/>
      <c r="D41" s="114"/>
      <c r="E41" s="114"/>
    </row>
    <row r="42" spans="2:9" x14ac:dyDescent="0.2">
      <c r="B42" s="113"/>
      <c r="C42" s="113"/>
      <c r="D42" s="113"/>
      <c r="E42" s="114"/>
    </row>
    <row r="43" spans="2:9" x14ac:dyDescent="0.2">
      <c r="B43" s="113"/>
      <c r="C43" s="114"/>
      <c r="D43" s="114"/>
      <c r="E43" s="114"/>
    </row>
    <row r="44" spans="2:9" x14ac:dyDescent="0.2">
      <c r="B44" s="113"/>
      <c r="C44" s="113"/>
      <c r="D44" s="113"/>
      <c r="E44" s="114"/>
    </row>
    <row r="45" spans="2:9" x14ac:dyDescent="0.2">
      <c r="B45" s="113"/>
      <c r="C45" s="114"/>
      <c r="D45" s="114"/>
      <c r="E45" s="114"/>
    </row>
    <row r="46" spans="2:9" x14ac:dyDescent="0.2">
      <c r="B46" s="113"/>
      <c r="C46" s="113"/>
      <c r="D46" s="113"/>
      <c r="E46" s="114"/>
    </row>
    <row r="47" spans="2:9" x14ac:dyDescent="0.2">
      <c r="B47" s="113"/>
      <c r="C47" s="114"/>
      <c r="D47" s="114"/>
      <c r="E47" s="114"/>
    </row>
    <row r="48" spans="2:9" x14ac:dyDescent="0.2">
      <c r="B48" s="113"/>
      <c r="C48" s="113"/>
      <c r="D48" s="113"/>
      <c r="E48" s="114"/>
    </row>
    <row r="49" spans="2:5" x14ac:dyDescent="0.2">
      <c r="B49" s="113"/>
      <c r="C49" s="114"/>
      <c r="D49" s="114"/>
      <c r="E49" s="114"/>
    </row>
    <row r="50" spans="2:5" x14ac:dyDescent="0.2">
      <c r="B50" s="113"/>
      <c r="C50" s="113"/>
      <c r="D50" s="113"/>
      <c r="E50" s="114"/>
    </row>
    <row r="51" spans="2:5" x14ac:dyDescent="0.2">
      <c r="B51" s="113"/>
      <c r="C51" s="114"/>
      <c r="D51" s="114"/>
      <c r="E51" s="114"/>
    </row>
    <row r="52" spans="2:5" x14ac:dyDescent="0.2">
      <c r="B52" s="113"/>
      <c r="C52" s="113"/>
      <c r="D52" s="113"/>
      <c r="E52" s="114"/>
    </row>
    <row r="53" spans="2:5" x14ac:dyDescent="0.2">
      <c r="B53" s="113"/>
      <c r="C53" s="114"/>
      <c r="D53" s="114"/>
      <c r="E53" s="114"/>
    </row>
    <row r="54" spans="2:5" x14ac:dyDescent="0.2">
      <c r="B54" s="113"/>
      <c r="C54" s="113"/>
      <c r="D54" s="113"/>
      <c r="E54" s="114"/>
    </row>
    <row r="55" spans="2:5" x14ac:dyDescent="0.2">
      <c r="B55" s="113"/>
      <c r="C55" s="114"/>
      <c r="D55" s="114"/>
      <c r="E55" s="114"/>
    </row>
    <row r="56" spans="2:5" x14ac:dyDescent="0.2">
      <c r="B56" s="113"/>
      <c r="C56" s="113"/>
      <c r="D56" s="113"/>
      <c r="E56" s="114"/>
    </row>
    <row r="57" spans="2:5" x14ac:dyDescent="0.2">
      <c r="B57" s="113"/>
      <c r="C57" s="114"/>
      <c r="D57" s="114"/>
      <c r="E57" s="114"/>
    </row>
    <row r="58" spans="2:5" x14ac:dyDescent="0.2">
      <c r="B58" s="113"/>
      <c r="C58" s="113"/>
      <c r="D58" s="113"/>
      <c r="E58" s="114"/>
    </row>
    <row r="59" spans="2:5" x14ac:dyDescent="0.2">
      <c r="B59" s="113"/>
      <c r="C59" s="114"/>
      <c r="D59" s="114"/>
      <c r="E59" s="114"/>
    </row>
    <row r="60" spans="2:5" x14ac:dyDescent="0.2">
      <c r="B60" s="113"/>
      <c r="C60" s="113"/>
      <c r="D60" s="113"/>
      <c r="E60" s="114"/>
    </row>
    <row r="61" spans="2:5" x14ac:dyDescent="0.2">
      <c r="B61" s="113"/>
      <c r="C61" s="114"/>
      <c r="D61" s="114"/>
      <c r="E61" s="114"/>
    </row>
    <row r="62" spans="2:5" x14ac:dyDescent="0.2">
      <c r="B62" s="113"/>
      <c r="C62" s="113"/>
      <c r="D62" s="113"/>
      <c r="E62" s="114"/>
    </row>
    <row r="63" spans="2:5" x14ac:dyDescent="0.2">
      <c r="B63" s="113"/>
      <c r="C63" s="114"/>
      <c r="D63" s="114"/>
      <c r="E63" s="114"/>
    </row>
    <row r="64" spans="2:5" x14ac:dyDescent="0.2">
      <c r="B64" s="114"/>
      <c r="C64" s="113"/>
      <c r="D64" s="113"/>
      <c r="E64" s="114"/>
    </row>
    <row r="65" spans="2:5" x14ac:dyDescent="0.2">
      <c r="B65" s="114"/>
      <c r="C65" s="114"/>
      <c r="D65" s="114"/>
      <c r="E65" s="114"/>
    </row>
  </sheetData>
  <mergeCells count="2">
    <mergeCell ref="B4:F4"/>
    <mergeCell ref="K4:O4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3"/>
  <sheetViews>
    <sheetView workbookViewId="0">
      <selection activeCell="M43" sqref="M43"/>
    </sheetView>
  </sheetViews>
  <sheetFormatPr baseColWidth="10" defaultRowHeight="16" x14ac:dyDescent="0.2"/>
  <sheetData>
    <row r="2" spans="1:15" x14ac:dyDescent="0.2">
      <c r="B2" t="s">
        <v>148</v>
      </c>
    </row>
    <row r="3" spans="1:15" x14ac:dyDescent="0.2">
      <c r="B3" s="242" t="s">
        <v>1</v>
      </c>
      <c r="C3" s="242"/>
      <c r="D3" s="242"/>
      <c r="F3">
        <f>1000</f>
        <v>1000</v>
      </c>
    </row>
    <row r="4" spans="1:15" x14ac:dyDescent="0.2">
      <c r="A4" t="s">
        <v>151</v>
      </c>
      <c r="B4" t="s">
        <v>169</v>
      </c>
      <c r="C4" t="s">
        <v>149</v>
      </c>
      <c r="D4" t="s">
        <v>150</v>
      </c>
    </row>
    <row r="5" spans="1:15" x14ac:dyDescent="0.2">
      <c r="A5" s="193">
        <v>0</v>
      </c>
      <c r="B5" s="27">
        <f>Citlivostní_analýza_data!B26/F3</f>
        <v>2099.8387586206895</v>
      </c>
      <c r="C5" s="27">
        <f>Citlivostní_analýza_data!N$26/F3</f>
        <v>2515.3580396930347</v>
      </c>
      <c r="D5" s="27">
        <f>Citlivostní_analýza_data!B53/F3</f>
        <v>2375.5089692144243</v>
      </c>
      <c r="O5" s="26"/>
    </row>
    <row r="6" spans="1:15" x14ac:dyDescent="0.2">
      <c r="A6" s="193">
        <v>0.01</v>
      </c>
      <c r="B6" s="27">
        <f>Citlivostní_analýza_data!C26/F3</f>
        <v>2312.2927353036653</v>
      </c>
      <c r="C6" s="27">
        <f>Citlivostní_analýza_data!O$26/F3</f>
        <v>2682.7325767653101</v>
      </c>
      <c r="D6" s="27">
        <f>Citlivostní_analýza_data!C53/F3</f>
        <v>2563.7825441620325</v>
      </c>
    </row>
    <row r="7" spans="1:15" x14ac:dyDescent="0.2">
      <c r="A7" s="193">
        <v>0.02</v>
      </c>
      <c r="B7" s="27">
        <f>Citlivostní_analýza_data!D26/F3</f>
        <v>2552.0235552553836</v>
      </c>
      <c r="C7" s="27">
        <f>Citlivostní_analýza_data!P$26/F3</f>
        <v>2871.7050081988932</v>
      </c>
      <c r="D7" s="27">
        <f>Citlivostní_analýza_data!D53/F3</f>
        <v>2776.2868005981509</v>
      </c>
    </row>
    <row r="8" spans="1:15" x14ac:dyDescent="0.2">
      <c r="A8" s="193">
        <v>0.03</v>
      </c>
      <c r="B8" s="27">
        <f>Citlivostní_analýza_data!$E26/F3</f>
        <v>2822.8429600000009</v>
      </c>
      <c r="C8" s="27">
        <f>Citlivostní_analýza_data!Q$26/F3</f>
        <v>3085.3024421825971</v>
      </c>
      <c r="D8" s="27">
        <f>Citlivostní_analýza_data!E53/F3</f>
        <v>3016.4126063753147</v>
      </c>
      <c r="F8" s="193"/>
    </row>
    <row r="9" spans="1:15" x14ac:dyDescent="0.2">
      <c r="A9" s="193">
        <v>0.04</v>
      </c>
      <c r="B9" s="27">
        <f>Citlivostní_analýza_data!F26/F3</f>
        <v>3129.1020717504307</v>
      </c>
      <c r="C9" s="27">
        <f>Citlivostní_analýza_data!R$26/F3</f>
        <v>3326.9811627991216</v>
      </c>
      <c r="D9" s="27">
        <f>Citlivostní_analýza_data!F53/F3</f>
        <v>3288.0310966954316</v>
      </c>
    </row>
    <row r="10" spans="1:15" x14ac:dyDescent="0.2">
      <c r="A10" s="193">
        <v>0.05</v>
      </c>
      <c r="B10" s="27">
        <f>Citlivostní_analýza_data!G26/F3</f>
        <v>3475.7661017575924</v>
      </c>
      <c r="C10" s="27">
        <f>Citlivostní_analýza_data!S$26/F3</f>
        <v>3600.686153887747</v>
      </c>
      <c r="D10" s="27">
        <f>Citlivostní_analýza_data!G53/F3</f>
        <v>3595.5602375710564</v>
      </c>
    </row>
    <row r="11" spans="1:15" x14ac:dyDescent="0.2">
      <c r="A11" s="193">
        <v>0.06</v>
      </c>
      <c r="B11" s="27">
        <f>Citlivostní_analýza_data!H26/F3</f>
        <v>3868.4989879656137</v>
      </c>
      <c r="C11" s="27">
        <f>Citlivostní_analýza_data!T$26/F3</f>
        <v>3910.9185418644106</v>
      </c>
      <c r="D11" s="27">
        <f>Citlivostní_analýza_data!H53/F3</f>
        <v>3944.0402402510267</v>
      </c>
    </row>
    <row r="12" spans="1:15" x14ac:dyDescent="0.2">
      <c r="A12" s="193">
        <v>7.0000000000000007E-2</v>
      </c>
      <c r="B12" s="27">
        <f>Citlivostní_analýza_data!I26/F3</f>
        <v>4313.7592109802854</v>
      </c>
      <c r="C12" s="27">
        <f>Citlivostní_analýza_data!U$26/F3</f>
        <v>4262.8119543730018</v>
      </c>
      <c r="D12" s="27">
        <f>Citlivostní_analýza_data!I53/F3</f>
        <v>4339.2189403744705</v>
      </c>
    </row>
    <row r="13" spans="1:15" x14ac:dyDescent="0.2">
      <c r="A13" s="193">
        <v>0.08</v>
      </c>
      <c r="B13" s="27">
        <f>Citlivostní_analýza_data!J26/F3</f>
        <v>4818.9081844316042</v>
      </c>
      <c r="C13" s="27">
        <f>Citlivostní_analýza_data!V$26/F3</f>
        <v>4662.2189090952897</v>
      </c>
      <c r="D13" s="27">
        <f>Citlivostní_analýza_data!J53/F3</f>
        <v>4787.6483868028827</v>
      </c>
    </row>
    <row r="14" spans="1:15" x14ac:dyDescent="0.2">
      <c r="A14" s="193">
        <v>0.09</v>
      </c>
      <c r="B14" s="27">
        <f>Citlivostní_analýza_data!K26/F3</f>
        <v>5392.332778937588</v>
      </c>
      <c r="C14" s="27">
        <f>Citlivostní_analýza_data!W$26/F3</f>
        <v>5115.8084773266164</v>
      </c>
      <c r="D14" s="27">
        <f>Citlivostní_analýza_data!K53/F3</f>
        <v>5296.7940305873535</v>
      </c>
    </row>
    <row r="15" spans="1:15" x14ac:dyDescent="0.2">
      <c r="A15" s="193">
        <v>0.1</v>
      </c>
      <c r="B15" s="27">
        <f>Citlivostní_analýza_data!L26/F3</f>
        <v>6043.5837196637212</v>
      </c>
      <c r="C15" s="27">
        <f>Citlivostní_analýza_data!X$26/F3</f>
        <v>5631.1766113152999</v>
      </c>
      <c r="D15" s="27">
        <f>Citlivostní_analýza_data!L53/F3</f>
        <v>5875.1580657925733</v>
      </c>
    </row>
    <row r="24" spans="1:4" x14ac:dyDescent="0.2">
      <c r="B24" s="242" t="s">
        <v>153</v>
      </c>
      <c r="C24" s="242"/>
    </row>
    <row r="25" spans="1:4" x14ac:dyDescent="0.2">
      <c r="B25" s="242" t="s">
        <v>1</v>
      </c>
      <c r="C25" s="242"/>
      <c r="D25" s="242"/>
    </row>
    <row r="26" spans="1:4" x14ac:dyDescent="0.2">
      <c r="A26" t="s">
        <v>154</v>
      </c>
      <c r="B26" t="s">
        <v>169</v>
      </c>
      <c r="C26" t="s">
        <v>149</v>
      </c>
      <c r="D26" t="s">
        <v>150</v>
      </c>
    </row>
    <row r="27" spans="1:4" x14ac:dyDescent="0.2">
      <c r="A27" s="193">
        <v>-0.1</v>
      </c>
      <c r="B27" s="27">
        <f>Citlivostní_analýza_data!B83</f>
        <v>17847.895884423997</v>
      </c>
      <c r="C27" s="27">
        <f>Citlivostní_analýza_data!C83</f>
        <v>15548.114035668872</v>
      </c>
      <c r="D27" s="27">
        <f>Citlivostní_analýza_data!D83</f>
        <v>16690.671923066075</v>
      </c>
    </row>
    <row r="28" spans="1:4" x14ac:dyDescent="0.2">
      <c r="A28" s="193">
        <v>-0.09</v>
      </c>
      <c r="B28" s="27">
        <f>Citlivostní_analýza_data!B82</f>
        <v>15185.809132091519</v>
      </c>
      <c r="C28" s="27">
        <f>Citlivostní_analýza_data!C82</f>
        <v>13346.394806780605</v>
      </c>
      <c r="D28" s="27">
        <f>Citlivostní_analýza_data!D82</f>
        <v>14271.114545854041</v>
      </c>
    </row>
    <row r="29" spans="1:4" x14ac:dyDescent="0.2">
      <c r="A29" s="193">
        <v>-0.08</v>
      </c>
      <c r="B29" s="27">
        <f>Citlivostní_analýza_data!B81</f>
        <v>12981.042496265867</v>
      </c>
      <c r="C29" s="27">
        <f>Citlivostní_analýza_data!C81</f>
        <v>11521.113860737323</v>
      </c>
      <c r="D29" s="27">
        <f>Citlivostní_analýza_data!D81</f>
        <v>12266.281973591493</v>
      </c>
    </row>
    <row r="30" spans="1:4" x14ac:dyDescent="0.2">
      <c r="A30" s="193">
        <v>-7.0000000000000007E-2</v>
      </c>
      <c r="B30" s="27">
        <f>Citlivostní_analýza_data!B80</f>
        <v>11148.16910236022</v>
      </c>
      <c r="C30" s="27">
        <f>Citlivostní_analýza_data!C80</f>
        <v>10002.179600064368</v>
      </c>
      <c r="D30" s="27">
        <f>Citlivostní_analýza_data!D80</f>
        <v>10598.821321539172</v>
      </c>
    </row>
    <row r="31" spans="1:4" x14ac:dyDescent="0.2">
      <c r="A31" s="193">
        <v>-0.06</v>
      </c>
      <c r="B31" s="27">
        <f>Citlivostní_analýza_data!B79</f>
        <v>9618.7573279076059</v>
      </c>
      <c r="C31" s="27">
        <f>Citlivostní_analýza_data!C79</f>
        <v>8733.4161097798788</v>
      </c>
      <c r="D31" s="27">
        <f>Citlivostní_analýza_data!D79</f>
        <v>9206.7538211514966</v>
      </c>
    </row>
    <row r="32" spans="1:4" x14ac:dyDescent="0.2">
      <c r="A32" s="193">
        <v>-0.05</v>
      </c>
      <c r="B32" s="27">
        <f>Citlivostní_analýza_data!B78</f>
        <v>8337.8091381081085</v>
      </c>
      <c r="C32" s="27">
        <f>Citlivostní_analýza_data!C78</f>
        <v>7669.6506161388188</v>
      </c>
      <c r="D32" s="27">
        <f>Citlivostní_analýza_data!D78</f>
        <v>8040.2548383026206</v>
      </c>
    </row>
    <row r="33" spans="1:4" x14ac:dyDescent="0.2">
      <c r="A33" s="193">
        <v>-0.04</v>
      </c>
      <c r="B33" s="27">
        <f>Citlivostní_analýza_data!B77</f>
        <v>7260.9792526442679</v>
      </c>
      <c r="C33" s="27">
        <f>Citlivostní_analýza_data!C77</f>
        <v>6774.4389633106748</v>
      </c>
      <c r="D33" s="27">
        <f>Citlivostní_analýza_data!D77</f>
        <v>7059.1395514743099</v>
      </c>
    </row>
    <row r="34" spans="1:4" x14ac:dyDescent="0.2">
      <c r="A34" s="193">
        <v>-0.03</v>
      </c>
      <c r="B34" s="27">
        <f>Citlivostní_analýza_data!B76</f>
        <v>6352.3969379479822</v>
      </c>
      <c r="C34" s="27">
        <f>Citlivostní_analýza_data!C76</f>
        <v>6018.2835657610103</v>
      </c>
      <c r="D34" s="27">
        <f>Citlivostní_analýza_data!D76</f>
        <v>6230.8932769124858</v>
      </c>
    </row>
    <row r="35" spans="1:4" x14ac:dyDescent="0.2">
      <c r="A35" s="193">
        <v>-0.02</v>
      </c>
      <c r="B35" s="27">
        <f>Citlivostní_analýza_data!B75</f>
        <v>5582.9544033226211</v>
      </c>
      <c r="C35" s="27">
        <f>Citlivostní_analýza_data!C75</f>
        <v>5377.2327364967286</v>
      </c>
      <c r="D35" s="27">
        <f>Citlivostní_analýza_data!D75</f>
        <v>5529.1235369190526</v>
      </c>
    </row>
    <row r="36" spans="1:4" x14ac:dyDescent="0.2">
      <c r="A36" s="193">
        <v>-0.01</v>
      </c>
      <c r="B36" s="27">
        <f>Citlivostní_analýza_data!B74</f>
        <v>4928.9576364757904</v>
      </c>
      <c r="C36" s="27">
        <f>Citlivostní_analýza_data!C74</f>
        <v>4831.7763032970715</v>
      </c>
      <c r="D36" s="27">
        <f>Citlivostní_analýza_data!D74</f>
        <v>4932.3397478950128</v>
      </c>
    </row>
    <row r="37" spans="1:4" x14ac:dyDescent="0.2">
      <c r="A37" s="193">
        <v>0</v>
      </c>
      <c r="B37" s="27">
        <f>Citlivostní_analýza_data!B62</f>
        <v>4371.0596524464518</v>
      </c>
      <c r="C37" s="27">
        <f>Citlivostní_analýza_data!C62</f>
        <v>4365.9721357072285</v>
      </c>
      <c r="D37" s="27">
        <f>Citlivostní_analýza_data!D62</f>
        <v>4422.9882125722615</v>
      </c>
    </row>
    <row r="38" spans="1:4" x14ac:dyDescent="0.2">
      <c r="A38" s="193">
        <v>0.01</v>
      </c>
      <c r="B38" s="27">
        <f>Citlivostní_analýza_data!B63</f>
        <v>3893.4144796334431</v>
      </c>
      <c r="C38" s="27">
        <f>Citlivostní_analýza_data!C63</f>
        <v>3966.7531903626455</v>
      </c>
      <c r="D38" s="27">
        <f>Citlivostní_analýza_data!D63</f>
        <v>3986.6866794377747</v>
      </c>
    </row>
    <row r="39" spans="1:4" x14ac:dyDescent="0.2">
      <c r="A39" s="193">
        <v>0.02</v>
      </c>
      <c r="B39" s="27">
        <f>Citlivostní_analýza_data!B64</f>
        <v>3483.0042006627905</v>
      </c>
      <c r="C39" s="27">
        <f>Citlivostní_analýza_data!C64</f>
        <v>3623.3761109021571</v>
      </c>
      <c r="D39" s="27">
        <f>Citlivostní_analýza_data!D64</f>
        <v>3611.615376106346</v>
      </c>
    </row>
    <row r="40" spans="1:4" x14ac:dyDescent="0.2">
      <c r="A40" s="193">
        <v>0.03</v>
      </c>
      <c r="B40" s="27">
        <f>Citlivostní_analýza_data!B65</f>
        <v>3129.1020717504312</v>
      </c>
      <c r="C40" s="27">
        <f>Citlivostní_analýza_data!C65</f>
        <v>3326.9811627991221</v>
      </c>
      <c r="D40" s="27">
        <f>Citlivostní_analýza_data!D65</f>
        <v>3288.031096695433</v>
      </c>
    </row>
    <row r="41" spans="1:4" x14ac:dyDescent="0.2">
      <c r="A41" s="193">
        <v>0.04</v>
      </c>
      <c r="B41" s="27">
        <f>Citlivostní_analýza_data!B66</f>
        <v>2822.8429600000009</v>
      </c>
      <c r="C41" s="27">
        <f>Citlivostní_analýza_data!C66</f>
        <v>3070.2399943049954</v>
      </c>
      <c r="D41" s="27">
        <f>Citlivostní_analýza_data!D66</f>
        <v>3007.878346925997</v>
      </c>
    </row>
    <row r="42" spans="1:4" x14ac:dyDescent="0.2">
      <c r="A42" s="193">
        <v>0.05</v>
      </c>
      <c r="B42" s="27">
        <f>Citlivostní_analýza_data!B67</f>
        <v>2556.8786621140066</v>
      </c>
      <c r="C42" s="27">
        <f>Citlivostní_analýza_data!C67</f>
        <v>2847.0728808607373</v>
      </c>
      <c r="D42" s="27">
        <f>Citlivostní_analýza_data!D67</f>
        <v>2764.4772652657471</v>
      </c>
    </row>
    <row r="43" spans="1:4" x14ac:dyDescent="0.2">
      <c r="A43" s="193">
        <v>0.06</v>
      </c>
      <c r="B43" s="27">
        <f>Citlivostní_analýza_data!B68</f>
        <v>2325.1005504510244</v>
      </c>
      <c r="C43" s="27">
        <f>Citlivostní_analýza_data!C68</f>
        <v>2652.4210992913377</v>
      </c>
      <c r="D43" s="27">
        <f>Citlivostní_analýza_data!D68</f>
        <v>2552.2724505976698</v>
      </c>
    </row>
    <row r="44" spans="1:4" x14ac:dyDescent="0.2">
      <c r="A44" s="193">
        <v>7.0000000000000007E-2</v>
      </c>
      <c r="B44" s="27">
        <f>Citlivostní_analýza_data!B69</f>
        <v>2122.4157729393314</v>
      </c>
      <c r="C44" s="27">
        <f>Citlivostní_analýza_data!C69</f>
        <v>2482.0631672000832</v>
      </c>
      <c r="D44" s="27">
        <f>Citlivostní_analýza_data!D69</f>
        <v>2366.6302435187959</v>
      </c>
    </row>
    <row r="45" spans="1:4" x14ac:dyDescent="0.2">
      <c r="A45" s="193">
        <v>0.08</v>
      </c>
      <c r="B45" s="27">
        <f>Citlivostní_analýza_data!B70</f>
        <v>1944.5661692049048</v>
      </c>
      <c r="C45" s="27">
        <f>Citlivostní_analýza_data!C70</f>
        <v>2332.4660821691455</v>
      </c>
      <c r="D45" s="27">
        <f>Citlivostní_analýza_data!D70</f>
        <v>2203.6746617539534</v>
      </c>
    </row>
    <row r="46" spans="1:4" x14ac:dyDescent="0.2">
      <c r="A46" s="193">
        <v>0.09</v>
      </c>
      <c r="B46" s="27">
        <f>Citlivostní_analýza_data!B71</f>
        <v>1787.9813516269442</v>
      </c>
      <c r="C46" s="27">
        <f>Citlivostní_analýza_data!C71</f>
        <v>2200.6645640614606</v>
      </c>
      <c r="D46" s="27">
        <f>Citlivostní_analýza_data!D71</f>
        <v>2060.1542566870316</v>
      </c>
    </row>
    <row r="47" spans="1:4" x14ac:dyDescent="0.2">
      <c r="A47" s="193">
        <v>0.1</v>
      </c>
      <c r="B47" s="27">
        <f>Citlivostní_analýza_data!B72</f>
        <v>1649.6591855723666</v>
      </c>
      <c r="C47" s="27">
        <f>Citlivostní_analýza_data!C72</f>
        <v>2084.1627633042194</v>
      </c>
      <c r="D47" s="27">
        <f>Citlivostní_analýza_data!D72</f>
        <v>1933.3337719857554</v>
      </c>
    </row>
    <row r="52" spans="1:4" x14ac:dyDescent="0.2">
      <c r="B52" s="242" t="s">
        <v>167</v>
      </c>
      <c r="C52" s="242"/>
      <c r="D52" s="242"/>
    </row>
    <row r="53" spans="1:4" x14ac:dyDescent="0.2">
      <c r="A53" t="s">
        <v>168</v>
      </c>
      <c r="B53" s="242" t="s">
        <v>1</v>
      </c>
      <c r="C53" s="242"/>
      <c r="D53" s="242"/>
    </row>
    <row r="54" spans="1:4" x14ac:dyDescent="0.2">
      <c r="B54" t="s">
        <v>169</v>
      </c>
      <c r="C54" t="s">
        <v>149</v>
      </c>
      <c r="D54" t="s">
        <v>150</v>
      </c>
    </row>
    <row r="55" spans="1:4" x14ac:dyDescent="0.2">
      <c r="A55" s="193">
        <v>0</v>
      </c>
      <c r="B55" s="26">
        <f>NPV!$F$30</f>
        <v>3129.1020717504312</v>
      </c>
      <c r="C55" s="26">
        <f>Citlivostní_analýza_data!K62</f>
        <v>3326.9811627991221</v>
      </c>
      <c r="D55" s="26">
        <f>Citlivostní_analýza_data!M62</f>
        <v>3288.031096695433</v>
      </c>
    </row>
    <row r="56" spans="1:4" x14ac:dyDescent="0.2">
      <c r="A56" s="193">
        <v>0.05</v>
      </c>
      <c r="B56" s="26">
        <f>NPV!$F$30</f>
        <v>3129.1020717504312</v>
      </c>
      <c r="C56" s="26">
        <f>Citlivostní_analýza_data!K63</f>
        <v>3291.6338127991221</v>
      </c>
      <c r="D56" s="26">
        <f>Citlivostní_analýza_data!M63</f>
        <v>3266.7029466954332</v>
      </c>
    </row>
    <row r="57" spans="1:4" x14ac:dyDescent="0.2">
      <c r="A57" s="193">
        <v>0.1</v>
      </c>
      <c r="B57" s="26">
        <f>NPV!$F$30</f>
        <v>3129.1020717504312</v>
      </c>
      <c r="C57" s="26">
        <f>Citlivostní_analýza_data!K64</f>
        <v>3256.2864627991225</v>
      </c>
      <c r="D57" s="26">
        <f>Citlivostní_analýza_data!M64</f>
        <v>3245.3747966954329</v>
      </c>
    </row>
    <row r="58" spans="1:4" x14ac:dyDescent="0.2">
      <c r="A58" s="193">
        <v>0.15</v>
      </c>
      <c r="B58" s="26">
        <f>NPV!$F$30</f>
        <v>3129.1020717504312</v>
      </c>
      <c r="C58" s="26">
        <f>Citlivostní_analýza_data!K65</f>
        <v>3220.9391127991221</v>
      </c>
      <c r="D58" s="26">
        <f>Citlivostní_analýza_data!M65</f>
        <v>3224.0466466954326</v>
      </c>
    </row>
    <row r="59" spans="1:4" x14ac:dyDescent="0.2">
      <c r="A59" s="193">
        <v>0.2</v>
      </c>
      <c r="B59" s="26">
        <f>NPV!$F$30</f>
        <v>3129.1020717504312</v>
      </c>
      <c r="C59" s="26">
        <f>Citlivostní_analýza_data!K66</f>
        <v>3185.5917627991225</v>
      </c>
      <c r="D59" s="26">
        <f>Citlivostní_analýza_data!M66</f>
        <v>3202.7184966954328</v>
      </c>
    </row>
    <row r="60" spans="1:4" x14ac:dyDescent="0.2">
      <c r="A60" s="193">
        <v>0.25</v>
      </c>
      <c r="B60" s="26">
        <f>NPV!$F$30</f>
        <v>3129.1020717504312</v>
      </c>
      <c r="C60" s="26">
        <f>Citlivostní_analýza_data!K67</f>
        <v>3150.2444127991221</v>
      </c>
      <c r="D60" s="26">
        <f>Citlivostní_analýza_data!M67</f>
        <v>3181.390346695433</v>
      </c>
    </row>
    <row r="61" spans="1:4" x14ac:dyDescent="0.2">
      <c r="A61" s="193">
        <v>0.3</v>
      </c>
      <c r="B61" s="26">
        <f>NPV!$F$30</f>
        <v>3129.1020717504312</v>
      </c>
      <c r="C61" s="26">
        <f>Citlivostní_analýza_data!K68</f>
        <v>3114.8970627991221</v>
      </c>
      <c r="D61" s="26">
        <f>Citlivostní_analýza_data!M68</f>
        <v>3160.0621966954332</v>
      </c>
    </row>
    <row r="62" spans="1:4" x14ac:dyDescent="0.2">
      <c r="A62" s="193">
        <v>0.35</v>
      </c>
      <c r="B62" s="26">
        <f>NPV!$F$30</f>
        <v>3129.1020717504312</v>
      </c>
      <c r="C62" s="26">
        <f>Citlivostní_analýza_data!K69</f>
        <v>3079.5497127991225</v>
      </c>
      <c r="D62" s="26">
        <f>Citlivostní_analýza_data!M69</f>
        <v>3138.7340466954329</v>
      </c>
    </row>
    <row r="63" spans="1:4" x14ac:dyDescent="0.2">
      <c r="A63" s="193">
        <v>0.4</v>
      </c>
      <c r="B63" s="26">
        <f>NPV!$F$30</f>
        <v>3129.1020717504312</v>
      </c>
      <c r="C63" s="26">
        <f>Citlivostní_analýza_data!K70</f>
        <v>3044.2023627991225</v>
      </c>
      <c r="D63" s="26">
        <f>Citlivostní_analýza_data!M70</f>
        <v>3117.4058966954326</v>
      </c>
    </row>
  </sheetData>
  <mergeCells count="5">
    <mergeCell ref="B3:D3"/>
    <mergeCell ref="B24:C24"/>
    <mergeCell ref="B25:D25"/>
    <mergeCell ref="B53:D53"/>
    <mergeCell ref="B52:D5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83"/>
  <sheetViews>
    <sheetView workbookViewId="0">
      <selection activeCell="N30" sqref="N30"/>
    </sheetView>
  </sheetViews>
  <sheetFormatPr baseColWidth="10" defaultRowHeight="16" x14ac:dyDescent="0.2"/>
  <cols>
    <col min="1" max="1" width="10.83203125" style="236"/>
    <col min="2" max="2" width="15.1640625" style="236" bestFit="1" customWidth="1"/>
    <col min="3" max="3" width="12.1640625" style="236" bestFit="1" customWidth="1"/>
    <col min="4" max="4" width="12.1640625" style="236" customWidth="1"/>
    <col min="5" max="10" width="10.83203125" style="236"/>
    <col min="11" max="11" width="13.1640625" style="236" bestFit="1" customWidth="1"/>
    <col min="12" max="12" width="10.83203125" style="236"/>
    <col min="13" max="13" width="13.1640625" style="236" bestFit="1" customWidth="1"/>
    <col min="14" max="16384" width="10.83203125" style="236"/>
  </cols>
  <sheetData>
    <row r="2" spans="1:24" x14ac:dyDescent="0.2">
      <c r="B2" s="242" t="s">
        <v>144</v>
      </c>
      <c r="C2" s="242"/>
      <c r="D2" s="242"/>
      <c r="F2" s="236" t="s">
        <v>142</v>
      </c>
      <c r="G2" s="237">
        <f>Teplárna!C2</f>
        <v>263.62</v>
      </c>
      <c r="Q2" s="283" t="s">
        <v>147</v>
      </c>
      <c r="R2" s="283"/>
    </row>
    <row r="3" spans="1:24" x14ac:dyDescent="0.2">
      <c r="B3" s="236" t="s">
        <v>73</v>
      </c>
      <c r="G3" s="237" t="s">
        <v>109</v>
      </c>
      <c r="N3" s="236" t="s">
        <v>73</v>
      </c>
    </row>
    <row r="4" spans="1:24" x14ac:dyDescent="0.2">
      <c r="B4" s="236">
        <v>0</v>
      </c>
      <c r="C4" s="236">
        <v>0.01</v>
      </c>
      <c r="D4" s="236">
        <v>0.02</v>
      </c>
      <c r="E4" s="236">
        <v>0.03</v>
      </c>
      <c r="F4" s="236">
        <v>0.04</v>
      </c>
      <c r="G4" s="236">
        <v>0.05</v>
      </c>
      <c r="H4" s="236">
        <v>0.06</v>
      </c>
      <c r="I4" s="236">
        <v>7.0000000000000007E-2</v>
      </c>
      <c r="J4" s="236">
        <v>0.08</v>
      </c>
      <c r="K4" s="236">
        <v>0.09</v>
      </c>
      <c r="L4" s="236">
        <v>0.1</v>
      </c>
      <c r="N4" s="236">
        <v>0</v>
      </c>
      <c r="O4" s="236">
        <v>0.01</v>
      </c>
      <c r="P4" s="236">
        <v>0.02</v>
      </c>
      <c r="Q4" s="236">
        <v>0.03</v>
      </c>
      <c r="R4" s="236">
        <v>0.04</v>
      </c>
      <c r="S4" s="236">
        <v>0.05</v>
      </c>
      <c r="T4" s="236">
        <v>0.06</v>
      </c>
      <c r="U4" s="236">
        <v>7.0000000000000007E-2</v>
      </c>
      <c r="V4" s="236">
        <v>0.08</v>
      </c>
      <c r="W4" s="236">
        <v>0.09</v>
      </c>
      <c r="X4" s="236">
        <v>0.1</v>
      </c>
    </row>
    <row r="5" spans="1:24" x14ac:dyDescent="0.2">
      <c r="A5" s="236">
        <v>0</v>
      </c>
      <c r="B5" s="27">
        <f>$C$5</f>
        <v>141142.14799999999</v>
      </c>
      <c r="C5" s="27">
        <f>Teplárna!$C$7</f>
        <v>141142.14799999999</v>
      </c>
      <c r="D5" s="27">
        <f>Teplárna!$C$7</f>
        <v>141142.14799999999</v>
      </c>
      <c r="E5" s="27">
        <f>Teplárna!$C$7</f>
        <v>141142.14799999999</v>
      </c>
      <c r="F5" s="27">
        <f>Teplárna!$C$7</f>
        <v>141142.14799999999</v>
      </c>
      <c r="G5" s="27">
        <f>Teplárna!$C$7</f>
        <v>141142.14799999999</v>
      </c>
      <c r="H5" s="27">
        <f>Teplárna!$C$7</f>
        <v>141142.14799999999</v>
      </c>
      <c r="I5" s="27">
        <f>Teplárna!$C$7</f>
        <v>141142.14799999999</v>
      </c>
      <c r="J5" s="27">
        <f>Teplárna!$C$7</f>
        <v>141142.14799999999</v>
      </c>
      <c r="K5" s="27">
        <f>Teplárna!$C$7</f>
        <v>141142.14799999999</v>
      </c>
      <c r="L5" s="27">
        <f>Teplárna!$C$7</f>
        <v>141142.14799999999</v>
      </c>
      <c r="N5" s="27">
        <f>'Teplárna + FVE 18 kWp'!$D$21</f>
        <v>706947</v>
      </c>
      <c r="O5" s="27">
        <f>'Teplárna + FVE 18 kWp'!$D$21</f>
        <v>706947</v>
      </c>
      <c r="P5" s="27">
        <f>'Teplárna + FVE 18 kWp'!$D$21</f>
        <v>706947</v>
      </c>
      <c r="Q5" s="27">
        <f>'Teplárna + FVE 18 kWp'!$D$21</f>
        <v>706947</v>
      </c>
      <c r="R5" s="27">
        <f>'Teplárna + FVE 18 kWp'!$D$21</f>
        <v>706947</v>
      </c>
      <c r="S5" s="27">
        <f>'Teplárna + FVE 18 kWp'!$D$21</f>
        <v>706947</v>
      </c>
      <c r="T5" s="27">
        <f>'Teplárna + FVE 18 kWp'!$D$21</f>
        <v>706947</v>
      </c>
      <c r="U5" s="27">
        <f>'Teplárna + FVE 18 kWp'!$D$21</f>
        <v>706947</v>
      </c>
      <c r="V5" s="27">
        <f>'Teplárna + FVE 18 kWp'!$D$21</f>
        <v>706947</v>
      </c>
      <c r="W5" s="27">
        <f>'Teplárna + FVE 18 kWp'!$D$21</f>
        <v>706947</v>
      </c>
      <c r="X5" s="27">
        <f>'Teplárna + FVE 18 kWp'!$D$21</f>
        <v>706947</v>
      </c>
    </row>
    <row r="6" spans="1:24" x14ac:dyDescent="0.2">
      <c r="A6" s="236">
        <v>1</v>
      </c>
      <c r="B6" s="27">
        <f t="shared" ref="B6:B25" si="0">$C$5</f>
        <v>141142.14799999999</v>
      </c>
      <c r="C6" s="27">
        <f t="shared" ref="C6:C25" si="1">C5*(1+$C$4)</f>
        <v>142553.56947999998</v>
      </c>
      <c r="D6" s="27">
        <f t="shared" ref="D6:D25" si="2">D5*(1+$D$4)</f>
        <v>143964.99096</v>
      </c>
      <c r="E6" s="27">
        <f t="shared" ref="E6:E25" si="3">E5*(1+$E$4)</f>
        <v>145376.41243999999</v>
      </c>
      <c r="F6" s="27">
        <f t="shared" ref="F6:F25" si="4">F5*(1+$F$4)</f>
        <v>146787.83392</v>
      </c>
      <c r="G6" s="27">
        <f>G5*(1+$G4)</f>
        <v>148199.25539999999</v>
      </c>
      <c r="H6" s="27">
        <f>H5*(1+$H$4)</f>
        <v>149610.67687999998</v>
      </c>
      <c r="I6" s="27">
        <f>I5*(1+$I$4)</f>
        <v>151022.09836</v>
      </c>
      <c r="J6" s="27">
        <f>J5*(1+$J$4)</f>
        <v>152433.51983999999</v>
      </c>
      <c r="K6" s="27">
        <f>K5*(1+$K$4)</f>
        <v>153844.94131999998</v>
      </c>
      <c r="L6" s="27">
        <f>L5*(1+$L$4)</f>
        <v>155256.3628</v>
      </c>
      <c r="N6" s="27">
        <f>B6-(B6/$G$2)*'Teplárna + FVE 18 kWp'!$I29+'Teplárna + FVE 18 kWp'!$D$22</f>
        <v>113106.59999999999</v>
      </c>
      <c r="O6" s="27">
        <f>C6-(C6/$G$2)*'Teplárna + FVE 18 kWp'!$I29+'Teplárna + FVE 18 kWp'!$D$22</f>
        <v>114186.50179999998</v>
      </c>
      <c r="P6" s="27">
        <f>D6-(D6/$G$2)*'Teplárna + FVE 18 kWp'!$I29+'Teplárna + FVE 18 kWp'!$D$22</f>
        <v>115266.40360000001</v>
      </c>
      <c r="Q6" s="27">
        <f>E6-(E6/$G$2)*'Teplárna + FVE 18 kWp'!$I29+'Teplárna + FVE 18 kWp'!$D$22</f>
        <v>116346.30539999998</v>
      </c>
      <c r="R6" s="27">
        <f>F6-(F6/$G$2)*'Teplárna + FVE 18 kWp'!$I29+'Teplárna + FVE 18 kWp'!$D$22</f>
        <v>117426.20719999999</v>
      </c>
      <c r="S6" s="27">
        <f>G6-(G6/$G$2)*'Teplárna + FVE 18 kWp'!$I29+'Teplárna + FVE 18 kWp'!$D$22</f>
        <v>118506.109</v>
      </c>
      <c r="T6" s="27">
        <f>H6-(H6/$G$2)*'Teplárna + FVE 18 kWp'!$I29+'Teplárna + FVE 18 kWp'!$D$22</f>
        <v>119586.01079999999</v>
      </c>
      <c r="U6" s="27">
        <f>I6-(I6/$G$2)*'Teplárna + FVE 18 kWp'!$I29+'Teplárna + FVE 18 kWp'!$D$22</f>
        <v>120665.9126</v>
      </c>
      <c r="V6" s="27">
        <f>J6-(J6/$G$2)*'Teplárna + FVE 18 kWp'!$I29+'Teplárna + FVE 18 kWp'!$D$22</f>
        <v>121745.81439999999</v>
      </c>
      <c r="W6" s="27">
        <f>K6-(K6/$G$2)*'Teplárna + FVE 18 kWp'!$I29+'Teplárna + FVE 18 kWp'!$D$22</f>
        <v>122825.71619999998</v>
      </c>
      <c r="X6" s="27">
        <f>L6-(L6/$G$2)*'Teplárna + FVE 18 kWp'!$I29+'Teplárna + FVE 18 kWp'!$D$22</f>
        <v>123905.618</v>
      </c>
    </row>
    <row r="7" spans="1:24" x14ac:dyDescent="0.2">
      <c r="A7" s="236">
        <v>2</v>
      </c>
      <c r="B7" s="27">
        <f t="shared" si="0"/>
        <v>141142.14799999999</v>
      </c>
      <c r="C7" s="27">
        <f t="shared" si="1"/>
        <v>143979.10517479997</v>
      </c>
      <c r="D7" s="27">
        <f t="shared" si="2"/>
        <v>146844.2907792</v>
      </c>
      <c r="E7" s="27">
        <f t="shared" si="3"/>
        <v>149737.70481319999</v>
      </c>
      <c r="F7" s="27">
        <f t="shared" si="4"/>
        <v>152659.34727680002</v>
      </c>
      <c r="G7" s="27">
        <f t="shared" ref="G7:G24" si="5">G6*(1+$G$4)</f>
        <v>155609.21817000001</v>
      </c>
      <c r="H7" s="27">
        <f t="shared" ref="H7:H25" si="6">H6*(1+$H$4)</f>
        <v>158587.31749279998</v>
      </c>
      <c r="I7" s="27">
        <f t="shared" ref="I7:I25" si="7">I6*(1+$I$4)</f>
        <v>161593.64524520002</v>
      </c>
      <c r="J7" s="27">
        <f t="shared" ref="J7:J25" si="8">J6*(1+$J$4)</f>
        <v>164628.20142719999</v>
      </c>
      <c r="K7" s="27">
        <f t="shared" ref="K7:K25" si="9">K6*(1+$K$4)</f>
        <v>167690.98603880001</v>
      </c>
      <c r="L7" s="27">
        <f t="shared" ref="L7:L25" si="10">L6*(1+$L$4)</f>
        <v>170781.99908000001</v>
      </c>
      <c r="N7" s="27">
        <f>B7-(B7/$G$2)*'Teplárna + FVE 18 kWp'!$I30+'Teplárna + FVE 18 kWp'!$D$22</f>
        <v>113371.81574399998</v>
      </c>
      <c r="O7" s="27">
        <f>C7-(C7/$G$2)*'Teplárna + FVE 18 kWp'!$I30+'Teplárna + FVE 18 kWp'!$D$22</f>
        <v>115547.74919845437</v>
      </c>
      <c r="P7" s="27">
        <f>D7-(D7/$G$2)*'Teplárna + FVE 18 kWp'!$I30+'Teplárna + FVE 18 kWp'!$D$22</f>
        <v>117745.3337320576</v>
      </c>
      <c r="Q7" s="27">
        <f>E7-(E7/$G$2)*'Teplárna + FVE 18 kWp'!$I30+'Teplárna + FVE 18 kWp'!$D$22</f>
        <v>119964.56934480958</v>
      </c>
      <c r="R7" s="27">
        <f>F7-(F7/$G$2)*'Teplárna + FVE 18 kWp'!$I30+'Teplárna + FVE 18 kWp'!$D$22</f>
        <v>122205.45603671041</v>
      </c>
      <c r="S7" s="27">
        <f>G7-(G7/$G$2)*'Teplárna + FVE 18 kWp'!$I30+'Teplárna + FVE 18 kWp'!$D$22</f>
        <v>124467.99380775999</v>
      </c>
      <c r="T7" s="27">
        <f>H7-(H7/$G$2)*'Teplárna + FVE 18 kWp'!$I30+'Teplárna + FVE 18 kWp'!$D$22</f>
        <v>126752.18265795837</v>
      </c>
      <c r="U7" s="27">
        <f>I7-(I7/$G$2)*'Teplárna + FVE 18 kWp'!$I30+'Teplárna + FVE 18 kWp'!$D$22</f>
        <v>129058.02258730562</v>
      </c>
      <c r="V7" s="27">
        <f>J7-(J7/$G$2)*'Teplárna + FVE 18 kWp'!$I30+'Teplárna + FVE 18 kWp'!$D$22</f>
        <v>131385.5135958016</v>
      </c>
      <c r="W7" s="27">
        <f>K7-(K7/$G$2)*'Teplárna + FVE 18 kWp'!$I30+'Teplárna + FVE 18 kWp'!$D$22</f>
        <v>133734.65568344641</v>
      </c>
      <c r="X7" s="27">
        <f>L7-(L7/$G$2)*'Teplárna + FVE 18 kWp'!$I30+'Teplárna + FVE 18 kWp'!$D$22</f>
        <v>136105.44885024001</v>
      </c>
    </row>
    <row r="8" spans="1:24" x14ac:dyDescent="0.2">
      <c r="A8" s="236">
        <v>3</v>
      </c>
      <c r="B8" s="27">
        <f t="shared" si="0"/>
        <v>141142.14799999999</v>
      </c>
      <c r="C8" s="27">
        <f t="shared" si="1"/>
        <v>145418.89622654798</v>
      </c>
      <c r="D8" s="27">
        <f t="shared" si="2"/>
        <v>149781.17659478402</v>
      </c>
      <c r="E8" s="27">
        <f t="shared" si="3"/>
        <v>154229.83595759599</v>
      </c>
      <c r="F8" s="27">
        <f t="shared" si="4"/>
        <v>158765.72116787202</v>
      </c>
      <c r="G8" s="27">
        <f t="shared" si="5"/>
        <v>163389.67907850002</v>
      </c>
      <c r="H8" s="27">
        <f t="shared" si="6"/>
        <v>168102.55654236799</v>
      </c>
      <c r="I8" s="27">
        <f t="shared" si="7"/>
        <v>172905.20041236404</v>
      </c>
      <c r="J8" s="27">
        <f t="shared" si="8"/>
        <v>177798.457541376</v>
      </c>
      <c r="K8" s="27">
        <f t="shared" si="9"/>
        <v>182783.17478229202</v>
      </c>
      <c r="L8" s="27">
        <f t="shared" si="10"/>
        <v>187860.19898800002</v>
      </c>
      <c r="N8" s="27">
        <f>B8-(B8/$G$2)*'Teplárna + FVE 18 kWp'!$I31+'Teplárna + FVE 18 kWp'!$D$22</f>
        <v>113637.03148799999</v>
      </c>
      <c r="O8" s="27">
        <f>C8-(C8/$G$2)*'Teplárna + FVE 18 kWp'!$I31+'Teplárna + FVE 18 kWp'!$D$22</f>
        <v>116925.31453669787</v>
      </c>
      <c r="P8" s="27">
        <f>D8-(D8/$G$2)*'Teplárna + FVE 18 kWp'!$I31+'Teplárna + FVE 18 kWp'!$D$22</f>
        <v>120279.36107595752</v>
      </c>
      <c r="Q8" s="27">
        <f>E8-(E8/$G$2)*'Teplárna + FVE 18 kWp'!$I31+'Teplárna + FVE 18 kWp'!$D$22</f>
        <v>123699.82222944777</v>
      </c>
      <c r="R8" s="27">
        <f>F8-(F8/$G$2)*'Teplárna + FVE 18 kWp'!$I31+'Teplárna + FVE 18 kWp'!$D$22</f>
        <v>127187.34912083765</v>
      </c>
      <c r="S8" s="27">
        <f>G8-(G8/$G$2)*'Teplárna + FVE 18 kWp'!$I31+'Teplárna + FVE 18 kWp'!$D$22</f>
        <v>130742.59287379602</v>
      </c>
      <c r="T8" s="27">
        <f>H8-(H8/$G$2)*'Teplárna + FVE 18 kWp'!$I31+'Teplárna + FVE 18 kWp'!$D$22</f>
        <v>134366.20461199182</v>
      </c>
      <c r="U8" s="27">
        <f>I8-(I8/$G$2)*'Teplárna + FVE 18 kWp'!$I31+'Teplárna + FVE 18 kWp'!$D$22</f>
        <v>138058.83545909403</v>
      </c>
      <c r="V8" s="27">
        <f>J8-(J8/$G$2)*'Teplárna + FVE 18 kWp'!$I31+'Teplárna + FVE 18 kWp'!$D$22</f>
        <v>141821.13653877148</v>
      </c>
      <c r="W8" s="27">
        <f>K8-(K8/$G$2)*'Teplárna + FVE 18 kWp'!$I31+'Teplárna + FVE 18 kWp'!$D$22</f>
        <v>145653.75897469316</v>
      </c>
      <c r="X8" s="27">
        <f>L8-(L8/$G$2)*'Teplárna + FVE 18 kWp'!$I31+'Teplárna + FVE 18 kWp'!$D$22</f>
        <v>149557.35389052803</v>
      </c>
    </row>
    <row r="9" spans="1:24" x14ac:dyDescent="0.2">
      <c r="A9" s="236">
        <v>4</v>
      </c>
      <c r="B9" s="27">
        <f t="shared" si="0"/>
        <v>141142.14799999999</v>
      </c>
      <c r="C9" s="27">
        <f t="shared" si="1"/>
        <v>146873.08518881345</v>
      </c>
      <c r="D9" s="27">
        <f t="shared" si="2"/>
        <v>152776.80012667971</v>
      </c>
      <c r="E9" s="27">
        <f t="shared" si="3"/>
        <v>158856.73103632388</v>
      </c>
      <c r="F9" s="27">
        <f t="shared" si="4"/>
        <v>165116.3500145869</v>
      </c>
      <c r="G9" s="27">
        <f t="shared" si="5"/>
        <v>171559.16303242501</v>
      </c>
      <c r="H9" s="27">
        <f t="shared" si="6"/>
        <v>178188.70993491009</v>
      </c>
      <c r="I9" s="27">
        <f t="shared" si="7"/>
        <v>185008.56444122954</v>
      </c>
      <c r="J9" s="27">
        <f t="shared" si="8"/>
        <v>192022.33414468609</v>
      </c>
      <c r="K9" s="27">
        <f t="shared" si="9"/>
        <v>199233.66051269832</v>
      </c>
      <c r="L9" s="27">
        <f t="shared" si="10"/>
        <v>206646.21888680002</v>
      </c>
      <c r="N9" s="27">
        <f>B9-(B9/$G$2)*'Teplárna + FVE 18 kWp'!$I32+'Teplárna + FVE 18 kWp'!$D$22</f>
        <v>113902.24723199998</v>
      </c>
      <c r="O9" s="27">
        <f>C9-(C9/$G$2)*'Teplárna + FVE 18 kWp'!$I32+'Teplárna + FVE 18 kWp'!$D$22</f>
        <v>118319.38804878636</v>
      </c>
      <c r="P9" s="27">
        <f>D9-(D9/$G$2)*'Teplárna + FVE 18 kWp'!$I32+'Teplárna + FVE 18 kWp'!$D$22</f>
        <v>122869.69794812061</v>
      </c>
      <c r="Q9" s="27">
        <f>E9-(E9/$G$2)*'Teplárna + FVE 18 kWp'!$I32+'Teplárna + FVE 18 kWp'!$D$22</f>
        <v>127555.82695275389</v>
      </c>
      <c r="R9" s="27">
        <f>F9-(F9/$G$2)*'Teplárna + FVE 18 kWp'!$I32+'Teplárna + FVE 18 kWp'!$D$22</f>
        <v>132380.45119403634</v>
      </c>
      <c r="S9" s="27">
        <f>G9-(G9/$G$2)*'Teplárna + FVE 18 kWp'!$I32+'Teplárna + FVE 18 kWp'!$D$22</f>
        <v>137346.27291191622</v>
      </c>
      <c r="T9" s="27">
        <f>H9-(H9/$G$2)*'Teplárna + FVE 18 kWp'!$I32+'Teplárna + FVE 18 kWp'!$D$22</f>
        <v>142456.02045494059</v>
      </c>
      <c r="U9" s="27">
        <f>I9-(I9/$G$2)*'Teplárna + FVE 18 kWp'!$I32+'Teplárna + FVE 18 kWp'!$D$22</f>
        <v>147712.44828025499</v>
      </c>
      <c r="V9" s="27">
        <f>J9-(J9/$G$2)*'Teplárna + FVE 18 kWp'!$I32+'Teplárna + FVE 18 kWp'!$D$22</f>
        <v>153118.33695360337</v>
      </c>
      <c r="W9" s="27">
        <f>K9-(K9/$G$2)*'Teplárna + FVE 18 kWp'!$I32+'Teplárna + FVE 18 kWp'!$D$22</f>
        <v>158676.49314932845</v>
      </c>
      <c r="X9" s="27">
        <f>L9-(L9/$G$2)*'Teplárna + FVE 18 kWp'!$I32+'Teplárna + FVE 18 kWp'!$D$22</f>
        <v>164389.74965037123</v>
      </c>
    </row>
    <row r="10" spans="1:24" x14ac:dyDescent="0.2">
      <c r="A10" s="236">
        <v>5</v>
      </c>
      <c r="B10" s="27">
        <f t="shared" si="0"/>
        <v>141142.14799999999</v>
      </c>
      <c r="C10" s="27">
        <f t="shared" si="1"/>
        <v>148341.81604070158</v>
      </c>
      <c r="D10" s="27">
        <f t="shared" si="2"/>
        <v>155832.3361292133</v>
      </c>
      <c r="E10" s="27">
        <f t="shared" si="3"/>
        <v>163622.4329674136</v>
      </c>
      <c r="F10" s="27">
        <f t="shared" si="4"/>
        <v>171721.00401517039</v>
      </c>
      <c r="G10" s="27">
        <f t="shared" si="5"/>
        <v>180137.12118404626</v>
      </c>
      <c r="H10" s="27">
        <f t="shared" si="6"/>
        <v>188880.03253100472</v>
      </c>
      <c r="I10" s="27">
        <f t="shared" si="7"/>
        <v>197959.1639521156</v>
      </c>
      <c r="J10" s="27">
        <f t="shared" si="8"/>
        <v>207384.12087626097</v>
      </c>
      <c r="K10" s="27">
        <f t="shared" si="9"/>
        <v>217164.68995884119</v>
      </c>
      <c r="L10" s="27">
        <f t="shared" si="10"/>
        <v>227310.84077548006</v>
      </c>
      <c r="N10" s="27">
        <f>B10-(B10/$G$2)*'Teplárna + FVE 18 kWp'!$I33+'Teplárna + FVE 18 kWp'!$D$22</f>
        <v>114167.462976</v>
      </c>
      <c r="O10" s="27">
        <f>C10-(C10/$G$2)*'Teplárna + FVE 18 kWp'!$I33+'Teplárna + FVE 18 kWp'!$D$22</f>
        <v>119730.16214166299</v>
      </c>
      <c r="P10" s="27">
        <f>D10-(D10/$G$2)*'Teplárna + FVE 18 kWp'!$I33+'Teplárna + FVE 18 kWp'!$D$22</f>
        <v>125517.58311873981</v>
      </c>
      <c r="Q10" s="27">
        <f>E10-(E10/$G$2)*'Teplárna + FVE 18 kWp'!$I33+'Teplárna + FVE 18 kWp'!$D$22</f>
        <v>131536.46689745193</v>
      </c>
      <c r="R10" s="27">
        <f>F10-(F10/$G$2)*'Teplárna + FVE 18 kWp'!$I33+'Teplárna + FVE 18 kWp'!$D$22</f>
        <v>137793.68794649758</v>
      </c>
      <c r="S10" s="27">
        <f>G10-(G10/$G$2)*'Teplárna + FVE 18 kWp'!$I33+'Teplárna + FVE 18 kWp'!$D$22</f>
        <v>144296.25552166396</v>
      </c>
      <c r="T10" s="27">
        <f>H10-(H10/$G$2)*'Teplárna + FVE 18 kWp'!$I33+'Teplárna + FVE 18 kWp'!$D$22</f>
        <v>151051.31497444006</v>
      </c>
      <c r="U10" s="27">
        <f>I10-(I10/$G$2)*'Teplárna + FVE 18 kWp'!$I33+'Teplárna + FVE 18 kWp'!$D$22</f>
        <v>158066.14906062893</v>
      </c>
      <c r="V10" s="27">
        <f>J10-(J10/$G$2)*'Teplárna + FVE 18 kWp'!$I33+'Teplárna + FVE 18 kWp'!$D$22</f>
        <v>165348.17924896025</v>
      </c>
      <c r="W10" s="27">
        <f>K10-(K10/$G$2)*'Teplárna + FVE 18 kWp'!$I33+'Teplárna + FVE 18 kWp'!$D$22</f>
        <v>172904.96702970305</v>
      </c>
      <c r="X10" s="27">
        <f>L10-(L10/$G$2)*'Teplárna + FVE 18 kWp'!$I33+'Teplárna + FVE 18 kWp'!$D$22</f>
        <v>180744.21522327783</v>
      </c>
    </row>
    <row r="11" spans="1:24" x14ac:dyDescent="0.2">
      <c r="A11" s="236">
        <v>6</v>
      </c>
      <c r="B11" s="27">
        <f t="shared" si="0"/>
        <v>141142.14799999999</v>
      </c>
      <c r="C11" s="27">
        <f t="shared" si="1"/>
        <v>149825.2342011086</v>
      </c>
      <c r="D11" s="27">
        <f t="shared" si="2"/>
        <v>158948.98285179757</v>
      </c>
      <c r="E11" s="27">
        <f t="shared" si="3"/>
        <v>168531.10595643602</v>
      </c>
      <c r="F11" s="27">
        <f t="shared" si="4"/>
        <v>178589.84417577719</v>
      </c>
      <c r="G11" s="27">
        <f t="shared" si="5"/>
        <v>189143.97724324858</v>
      </c>
      <c r="H11" s="27">
        <f t="shared" si="6"/>
        <v>200212.834482865</v>
      </c>
      <c r="I11" s="27">
        <f t="shared" si="7"/>
        <v>211816.30542876371</v>
      </c>
      <c r="J11" s="27">
        <f t="shared" si="8"/>
        <v>223974.85054636188</v>
      </c>
      <c r="K11" s="27">
        <f t="shared" si="9"/>
        <v>236709.5120551369</v>
      </c>
      <c r="L11" s="27">
        <f t="shared" si="10"/>
        <v>250041.92485302809</v>
      </c>
      <c r="N11" s="27">
        <f>B11-(B11/$G$2)*'Teplárna + FVE 18 kWp'!$I34+'Teplárna + FVE 18 kWp'!$D$22</f>
        <v>114432.67871999998</v>
      </c>
      <c r="O11" s="27">
        <f>C11-(C11/$G$2)*'Teplárna + FVE 18 kWp'!$I34+'Teplárna + FVE 18 kWp'!$D$22</f>
        <v>121157.83141959224</v>
      </c>
      <c r="P11" s="27">
        <f>D11-(D11/$G$2)*'Teplárna + FVE 18 kWp'!$I34+'Teplárna + FVE 18 kWp'!$D$22</f>
        <v>128224.28238500455</v>
      </c>
      <c r="Q11" s="27">
        <f>E11-(E11/$G$2)*'Teplárna + FVE 18 kWp'!$I34+'Teplárna + FVE 18 kWp'!$D$22</f>
        <v>135645.74977257435</v>
      </c>
      <c r="R11" s="27">
        <f>F11-(F11/$G$2)*'Teplárna + FVE 18 kWp'!$I34+'Teplárna + FVE 18 kWp'!$D$22</f>
        <v>143436.36118924522</v>
      </c>
      <c r="S11" s="27">
        <f>G11-(G11/$G$2)*'Teplárna + FVE 18 kWp'!$I34+'Teplárna + FVE 18 kWp'!$D$22</f>
        <v>151610.66176010665</v>
      </c>
      <c r="T11" s="27">
        <f>H11-(H11/$G$2)*'Teplárna + FVE 18 kWp'!$I34+'Teplárna + FVE 18 kWp'!$D$22</f>
        <v>160183.62227464165</v>
      </c>
      <c r="U11" s="27">
        <f>I11-(I11/$G$2)*'Teplárna + FVE 18 kWp'!$I34+'Teplárna + FVE 18 kWp'!$D$22</f>
        <v>169170.64741168197</v>
      </c>
      <c r="V11" s="27">
        <f>J11-(J11/$G$2)*'Teplárna + FVE 18 kWp'!$I34+'Teplárna + FVE 18 kWp'!$D$22</f>
        <v>178587.58404307117</v>
      </c>
      <c r="W11" s="27">
        <f>K11-(K11/$G$2)*'Teplárna + FVE 18 kWp'!$I34+'Teplárna + FVE 18 kWp'!$D$22</f>
        <v>188450.7296160355</v>
      </c>
      <c r="X11" s="27">
        <f>L11-(L11/$G$2)*'Teplárna + FVE 18 kWp'!$I34+'Teplárna + FVE 18 kWp'!$D$22</f>
        <v>198776.84061426201</v>
      </c>
    </row>
    <row r="12" spans="1:24" x14ac:dyDescent="0.2">
      <c r="A12" s="236">
        <v>7</v>
      </c>
      <c r="B12" s="27">
        <f t="shared" si="0"/>
        <v>141142.14799999999</v>
      </c>
      <c r="C12" s="27">
        <f t="shared" si="1"/>
        <v>151323.48654311968</v>
      </c>
      <c r="D12" s="27">
        <f t="shared" si="2"/>
        <v>162127.96250883353</v>
      </c>
      <c r="E12" s="27">
        <f t="shared" si="3"/>
        <v>173587.0391351291</v>
      </c>
      <c r="F12" s="27">
        <f t="shared" si="4"/>
        <v>185733.43794280829</v>
      </c>
      <c r="G12" s="27">
        <f t="shared" si="5"/>
        <v>198601.17610541102</v>
      </c>
      <c r="H12" s="27">
        <f t="shared" si="6"/>
        <v>212225.60455183691</v>
      </c>
      <c r="I12" s="27">
        <f t="shared" si="7"/>
        <v>226643.44680877717</v>
      </c>
      <c r="J12" s="27">
        <f t="shared" si="8"/>
        <v>241892.83859007084</v>
      </c>
      <c r="K12" s="27">
        <f t="shared" si="9"/>
        <v>258013.36814009925</v>
      </c>
      <c r="L12" s="27">
        <f t="shared" si="10"/>
        <v>275046.11733833089</v>
      </c>
      <c r="N12" s="27">
        <f>B12-(B12/$G$2)*'Teplárna + FVE 18 kWp'!$I35+'Teplárna + FVE 18 kWp'!$D$22</f>
        <v>114697.89446399998</v>
      </c>
      <c r="O12" s="27">
        <f>C12-(C12/$G$2)*'Teplárna + FVE 18 kWp'!$I35+'Teplárna + FVE 18 kWp'!$D$22</f>
        <v>122602.59270886592</v>
      </c>
      <c r="P12" s="27">
        <f>D12-(D12/$G$2)*'Teplárna + FVE 18 kWp'!$I35+'Teplárna + FVE 18 kWp'!$D$22</f>
        <v>130991.0891566724</v>
      </c>
      <c r="Q12" s="27">
        <f>E12-(E12/$G$2)*'Teplárna + FVE 18 kWp'!$I35+'Teplárna + FVE 18 kWp'!$D$22</f>
        <v>139887.81157799638</v>
      </c>
      <c r="R12" s="27">
        <f>F12-(F12/$G$2)*'Teplárna + FVE 18 kWp'!$I35+'Teplárna + FVE 18 kWp'!$D$22</f>
        <v>149318.16466269831</v>
      </c>
      <c r="S12" s="27">
        <f>G12-(G12/$G$2)*'Teplárna + FVE 18 kWp'!$I35+'Teplárna + FVE 18 kWp'!$D$22</f>
        <v>159308.55903358952</v>
      </c>
      <c r="T12" s="27">
        <f>H12-(H12/$G$2)*'Teplárna + FVE 18 kWp'!$I35+'Teplárna + FVE 18 kWp'!$D$22</f>
        <v>169886.44082895946</v>
      </c>
      <c r="U12" s="27">
        <f>I12-(I12/$G$2)*'Teplárna + FVE 18 kWp'!$I35+'Teplárna + FVE 18 kWp'!$D$22</f>
        <v>181080.32185948538</v>
      </c>
      <c r="V12" s="27">
        <f>J12-(J12/$G$2)*'Teplárna + FVE 18 kWp'!$I35+'Teplárna + FVE 18 kWp'!$D$22</f>
        <v>192919.81034504648</v>
      </c>
      <c r="W12" s="27">
        <f>K12-(K12/$G$2)*'Teplárna + FVE 18 kWp'!$I35+'Teplárna + FVE 18 kWp'!$D$22</f>
        <v>205435.64223696722</v>
      </c>
      <c r="X12" s="27">
        <f>L12-(L12/$G$2)*'Teplárna + FVE 18 kWp'!$I35+'Teplárna + FVE 18 kWp'!$D$22</f>
        <v>218659.71313121021</v>
      </c>
    </row>
    <row r="13" spans="1:24" x14ac:dyDescent="0.2">
      <c r="A13" s="236">
        <v>8</v>
      </c>
      <c r="B13" s="27">
        <f t="shared" si="0"/>
        <v>141142.14799999999</v>
      </c>
      <c r="C13" s="27">
        <f t="shared" si="1"/>
        <v>152836.72140855089</v>
      </c>
      <c r="D13" s="27">
        <f t="shared" si="2"/>
        <v>165370.52175901021</v>
      </c>
      <c r="E13" s="27">
        <f t="shared" si="3"/>
        <v>178794.65030918299</v>
      </c>
      <c r="F13" s="27">
        <f t="shared" si="4"/>
        <v>193162.77546052064</v>
      </c>
      <c r="G13" s="27">
        <f t="shared" si="5"/>
        <v>208531.23491068158</v>
      </c>
      <c r="H13" s="27">
        <f t="shared" si="6"/>
        <v>224959.14082494713</v>
      </c>
      <c r="I13" s="27">
        <f t="shared" si="7"/>
        <v>242508.48808539158</v>
      </c>
      <c r="J13" s="27">
        <f t="shared" si="8"/>
        <v>261244.26567727653</v>
      </c>
      <c r="K13" s="27">
        <f t="shared" si="9"/>
        <v>281234.57127270818</v>
      </c>
      <c r="L13" s="27">
        <f t="shared" si="10"/>
        <v>302550.72907216399</v>
      </c>
      <c r="N13" s="27">
        <f>B13-(B13/$G$2)*'Teplárna + FVE 18 kWp'!$I36+'Teplárna + FVE 18 kWp'!$D$22</f>
        <v>114963.11020799998</v>
      </c>
      <c r="O13" s="27">
        <f>C13-(C13/$G$2)*'Teplárna + FVE 18 kWp'!$I36+'Teplárna + FVE 18 kWp'!$D$22</f>
        <v>124064.64508278314</v>
      </c>
      <c r="P13" s="27">
        <f>D13-(D13/$G$2)*'Teplárna + FVE 18 kWp'!$I36+'Teplárna + FVE 18 kWp'!$D$22</f>
        <v>133819.32505425296</v>
      </c>
      <c r="Q13" s="27">
        <f>E13-(E13/$G$2)*'Teplárna + FVE 18 kWp'!$I36+'Teplárna + FVE 18 kWp'!$D$22</f>
        <v>144266.92069494847</v>
      </c>
      <c r="R13" s="27">
        <f>F13-(F13/$G$2)*'Teplárna + FVE 18 kWp'!$I36+'Teplárna + FVE 18 kWp'!$D$22</f>
        <v>155449.20050812489</v>
      </c>
      <c r="S13" s="27">
        <f>G13-(G13/$G$2)*'Teplárna + FVE 18 kWp'!$I36+'Teplárna + FVE 18 kWp'!$D$22</f>
        <v>167410.01043002037</v>
      </c>
      <c r="T13" s="27">
        <f>H13-(H13/$G$2)*'Teplárna + FVE 18 kWp'!$I36+'Teplárna + FVE 18 kWp'!$D$22</f>
        <v>180195.35568160671</v>
      </c>
      <c r="U13" s="27">
        <f>I13-(I13/$G$2)*'Teplárna + FVE 18 kWp'!$I36+'Teplárna + FVE 18 kWp'!$D$22</f>
        <v>193853.48501566399</v>
      </c>
      <c r="V13" s="27">
        <f>J13-(J13/$G$2)*'Teplárna + FVE 18 kWp'!$I36+'Teplárna + FVE 18 kWp'!$D$22</f>
        <v>208434.97740546221</v>
      </c>
      <c r="W13" s="27">
        <f>K13-(K13/$G$2)*'Teplárna + FVE 18 kWp'!$I36+'Teplárna + FVE 18 kWp'!$D$22</f>
        <v>223992.83122177675</v>
      </c>
      <c r="X13" s="27">
        <f>L13-(L13/$G$2)*'Teplárna + FVE 18 kWp'!$I36+'Teplárna + FVE 18 kWp'!$D$22</f>
        <v>240582.55594540547</v>
      </c>
    </row>
    <row r="14" spans="1:24" x14ac:dyDescent="0.2">
      <c r="A14" s="236">
        <v>9</v>
      </c>
      <c r="B14" s="27">
        <f t="shared" si="0"/>
        <v>141142.14799999999</v>
      </c>
      <c r="C14" s="27">
        <f t="shared" si="1"/>
        <v>154365.08862263639</v>
      </c>
      <c r="D14" s="27">
        <f t="shared" si="2"/>
        <v>168677.93219419042</v>
      </c>
      <c r="E14" s="27">
        <f t="shared" si="3"/>
        <v>184158.4898184585</v>
      </c>
      <c r="F14" s="27">
        <f t="shared" si="4"/>
        <v>200889.28647894147</v>
      </c>
      <c r="G14" s="27">
        <f t="shared" si="5"/>
        <v>218957.79665621568</v>
      </c>
      <c r="H14" s="27">
        <f t="shared" si="6"/>
        <v>238456.68927444395</v>
      </c>
      <c r="I14" s="27">
        <f t="shared" si="7"/>
        <v>259484.08225136902</v>
      </c>
      <c r="J14" s="27">
        <f t="shared" si="8"/>
        <v>282143.80693145865</v>
      </c>
      <c r="K14" s="27">
        <f t="shared" si="9"/>
        <v>306545.68268725195</v>
      </c>
      <c r="L14" s="27">
        <f t="shared" si="10"/>
        <v>332805.80197938043</v>
      </c>
      <c r="N14" s="27">
        <f>B14-(B14/$G$2)*'Teplárna + FVE 18 kWp'!$I37+'Teplárna + FVE 18 kWp'!$D$22</f>
        <v>115228.32595199998</v>
      </c>
      <c r="O14" s="27">
        <f>C14-(C14/$G$2)*'Teplárna + FVE 18 kWp'!$I37+'Teplárna + FVE 18 kWp'!$D$22</f>
        <v>125544.1898869078</v>
      </c>
      <c r="P14" s="27">
        <f>D14-(D14/$G$2)*'Teplárna + FVE 18 kWp'!$I37+'Teplárna + FVE 18 kWp'!$D$22</f>
        <v>136710.34052007407</v>
      </c>
      <c r="Q14" s="27">
        <f>E14-(E14/$G$2)*'Teplárna + FVE 18 kWp'!$I37+'Teplárna + FVE 18 kWp'!$D$22</f>
        <v>148787.48210649745</v>
      </c>
      <c r="R14" s="27">
        <f>F14-(F14/$G$2)*'Teplárna + FVE 18 kWp'!$I37+'Teplárna + FVE 18 kWp'!$D$22</f>
        <v>161839.99642972523</v>
      </c>
      <c r="S14" s="27">
        <f>G14-(G14/$G$2)*'Teplárna + FVE 18 kWp'!$I37+'Teplárna + FVE 18 kWp'!$D$22</f>
        <v>175936.12661851032</v>
      </c>
      <c r="T14" s="27">
        <f>H14-(H14/$G$2)*'Teplárna + FVE 18 kWp'!$I37+'Teplárna + FVE 18 kWp'!$D$22</f>
        <v>191148.16824158735</v>
      </c>
      <c r="U14" s="27">
        <f>I14-(I14/$G$2)*'Teplárna + FVE 18 kWp'!$I37+'Teplárna + FVE 18 kWp'!$D$22</f>
        <v>207552.66789459618</v>
      </c>
      <c r="V14" s="27">
        <f>J14-(J14/$G$2)*'Teplárna + FVE 18 kWp'!$I37+'Teplárna + FVE 18 kWp'!$D$22</f>
        <v>225230.62949733614</v>
      </c>
      <c r="W14" s="27">
        <f>K14-(K14/$G$2)*'Teplárna + FVE 18 kWp'!$I37+'Teplárna + FVE 18 kWp'!$D$22</f>
        <v>244267.72852373254</v>
      </c>
      <c r="X14" s="27">
        <f>L14-(L14/$G$2)*'Teplárna + FVE 18 kWp'!$I37+'Teplárna + FVE 18 kWp'!$D$22</f>
        <v>264754.5343911277</v>
      </c>
    </row>
    <row r="15" spans="1:24" x14ac:dyDescent="0.2">
      <c r="A15" s="236">
        <v>10</v>
      </c>
      <c r="B15" s="27">
        <f t="shared" si="0"/>
        <v>141142.14799999999</v>
      </c>
      <c r="C15" s="27">
        <f t="shared" si="1"/>
        <v>155908.73950886275</v>
      </c>
      <c r="D15" s="27">
        <f t="shared" si="2"/>
        <v>172051.49083807424</v>
      </c>
      <c r="E15" s="27">
        <f t="shared" si="3"/>
        <v>189683.24451301227</v>
      </c>
      <c r="F15" s="27">
        <f t="shared" si="4"/>
        <v>208924.85793809913</v>
      </c>
      <c r="G15" s="27">
        <f t="shared" si="5"/>
        <v>229905.68648902647</v>
      </c>
      <c r="H15" s="27">
        <f t="shared" si="6"/>
        <v>252764.09063091059</v>
      </c>
      <c r="I15" s="27">
        <f t="shared" si="7"/>
        <v>277647.96800896485</v>
      </c>
      <c r="J15" s="27">
        <f t="shared" si="8"/>
        <v>304715.31148597534</v>
      </c>
      <c r="K15" s="27">
        <f t="shared" si="9"/>
        <v>334134.79412910464</v>
      </c>
      <c r="L15" s="27">
        <f t="shared" si="10"/>
        <v>366086.3821773185</v>
      </c>
      <c r="N15" s="190">
        <f>B15-(B15/$G$2)*'Teplárna + FVE 18 kWp'!$I38+'Teplárna + FVE 18 kWp'!$D$22+'Teplárna + FVE 18 kWp'!$D$19+'Teplárna + FVE 18 kWp'!$D$20</f>
        <v>239189.54169599997</v>
      </c>
      <c r="O15" s="190">
        <f>C15-(C15/$G$2)*'Teplárna + FVE 18 kWp'!$I38+'Teplárna + FVE 18 kWp'!$D$22+'Teplárna + FVE 18 kWp'!$D$19+'Teplárna + FVE 18 kWp'!$D$20</f>
        <v>250737.43076460669</v>
      </c>
      <c r="P15" s="190">
        <f>D15-(D15/$G$2)*'Teplárna + FVE 18 kWp'!$I38+'Teplárna + FVE 18 kWp'!$D$22+'Teplárna + FVE 18 kWp'!$D$19+'Teplárna + FVE 18 kWp'!$D$20</f>
        <v>263361.51544250629</v>
      </c>
      <c r="Q15" s="190">
        <f>E15-(E15/$G$2)*'Teplárna + FVE 18 kWp'!$I38+'Teplárna + FVE 18 kWp'!$D$22+'Teplárna + FVE 18 kWp'!$D$19+'Teplárna + FVE 18 kWp'!$D$20</f>
        <v>277150.0417521139</v>
      </c>
      <c r="R15" s="190">
        <f>F15-(F15/$G$2)*'Teplárna + FVE 18 kWp'!$I38+'Teplárna + FVE 18 kWp'!$D$22+'Teplárna + FVE 18 kWp'!$D$19+'Teplárna + FVE 18 kWp'!$D$20</f>
        <v>292197.52357624064</v>
      </c>
      <c r="S15" s="190">
        <f>G15-(G15/$G$2)*'Teplárna + FVE 18 kWp'!$I38+'Teplárna + FVE 18 kWp'!$D$22+'Teplárna + FVE 18 kWp'!$D$19+'Teplárna + FVE 18 kWp'!$D$20</f>
        <v>308605.1204497742</v>
      </c>
      <c r="T15" s="190">
        <f>H15-(H15/$G$2)*'Teplárna + FVE 18 kWp'!$I38+'Teplárna + FVE 18 kWp'!$D$22+'Teplárna + FVE 18 kWp'!$D$19+'Teplárna + FVE 18 kWp'!$D$20</f>
        <v>326481.03414031188</v>
      </c>
      <c r="U15" s="190">
        <f>I15-(I15/$G$2)*'Teplárna + FVE 18 kWp'!$I38+'Teplárna + FVE 18 kWp'!$D$22+'Teplárna + FVE 18 kWp'!$D$19+'Teplárna + FVE 18 kWp'!$D$20</f>
        <v>345940.92475800205</v>
      </c>
      <c r="V15" s="190">
        <f>J15-(J15/$G$2)*'Teplárna + FVE 18 kWp'!$I38+'Teplárna + FVE 18 kWp'!$D$22+'Teplárna + FVE 18 kWp'!$D$19+'Teplárna + FVE 18 kWp'!$D$20</f>
        <v>367108.34715651494</v>
      </c>
      <c r="W15" s="190">
        <f>K15-(K15/$G$2)*'Teplárna + FVE 18 kWp'!$I38+'Teplárna + FVE 18 kWp'!$D$22+'Teplárna + FVE 18 kWp'!$D$19+'Teplárna + FVE 18 kWp'!$D$20</f>
        <v>390115.20840914402</v>
      </c>
      <c r="X15" s="190">
        <f>L15-(L15/$G$2)*'Teplárna + FVE 18 kWp'!$I38+'Teplárna + FVE 18 kWp'!$D$22+'Teplárna + FVE 18 kWp'!$D$19+'Teplárna + FVE 18 kWp'!$D$20</f>
        <v>415102.2471665403</v>
      </c>
    </row>
    <row r="16" spans="1:24" x14ac:dyDescent="0.2">
      <c r="A16" s="236">
        <v>11</v>
      </c>
      <c r="B16" s="27">
        <f t="shared" si="0"/>
        <v>141142.14799999999</v>
      </c>
      <c r="C16" s="27">
        <f t="shared" si="1"/>
        <v>157467.82690395138</v>
      </c>
      <c r="D16" s="27">
        <f t="shared" si="2"/>
        <v>175492.52065483574</v>
      </c>
      <c r="E16" s="27">
        <f t="shared" si="3"/>
        <v>195373.74184840263</v>
      </c>
      <c r="F16" s="27">
        <f t="shared" si="4"/>
        <v>217281.85225562309</v>
      </c>
      <c r="G16" s="27">
        <f t="shared" si="5"/>
        <v>241400.97081347779</v>
      </c>
      <c r="H16" s="27">
        <f t="shared" si="6"/>
        <v>267929.93606876524</v>
      </c>
      <c r="I16" s="27">
        <f t="shared" si="7"/>
        <v>297083.32576959243</v>
      </c>
      <c r="J16" s="27">
        <f t="shared" si="8"/>
        <v>329092.5364048534</v>
      </c>
      <c r="K16" s="27">
        <f t="shared" si="9"/>
        <v>364206.92560072406</v>
      </c>
      <c r="L16" s="27">
        <f t="shared" si="10"/>
        <v>402695.02039505041</v>
      </c>
      <c r="N16" s="27">
        <f>B16-(B16/$G$2)*'Teplárna + FVE 18 kWp'!$I39+'Teplárna + FVE 18 kWp'!$D$22</f>
        <v>115758.75743999999</v>
      </c>
      <c r="O16" s="27">
        <f>C16-(C16/$G$2)*'Teplárna + FVE 18 kWp'!$I39+'Teplárna + FVE 18 kWp'!$D$22</f>
        <v>128556.57368287083</v>
      </c>
      <c r="P16" s="27">
        <f>D16-(D16/$G$2)*'Teplárna + FVE 18 kWp'!$I39+'Teplárna + FVE 18 kWp'!$D$22</f>
        <v>142686.25979362783</v>
      </c>
      <c r="Q16" s="27">
        <f>E16-(E16/$G$2)*'Teplárna + FVE 18 kWp'!$I39+'Teplárna + FVE 18 kWp'!$D$22</f>
        <v>158271.29102057152</v>
      </c>
      <c r="R16" s="27">
        <f>F16-(F16/$G$2)*'Teplárna + FVE 18 kWp'!$I39+'Teplárna + FVE 18 kWp'!$D$22</f>
        <v>175445.21517218967</v>
      </c>
      <c r="S16" s="27">
        <f>G16-(G16/$G$2)*'Teplárna + FVE 18 kWp'!$I39+'Teplárna + FVE 18 kWp'!$D$22</f>
        <v>194352.36439761825</v>
      </c>
      <c r="T16" s="27">
        <f>H16-(H16/$G$2)*'Teplárna + FVE 18 kWp'!$I39+'Teplárna + FVE 18 kWp'!$D$22</f>
        <v>215148.60965321367</v>
      </c>
      <c r="U16" s="27">
        <f>I16-(I16/$G$2)*'Teplárna + FVE 18 kWp'!$I39+'Teplárna + FVE 18 kWp'!$D$22</f>
        <v>238002.15996760127</v>
      </c>
      <c r="V16" s="27">
        <f>J16-(J16/$G$2)*'Teplárna + FVE 18 kWp'!$I39+'Teplárna + FVE 18 kWp'!$D$22</f>
        <v>263094.40870037937</v>
      </c>
      <c r="W16" s="27">
        <f>K16-(K16/$G$2)*'Teplárna + FVE 18 kWp'!$I39+'Teplárna + FVE 18 kWp'!$D$22</f>
        <v>290620.82907488727</v>
      </c>
      <c r="X16" s="27">
        <f>L16-(L16/$G$2)*'Teplárna + FVE 18 kWp'!$I39+'Teplárna + FVE 18 kWp'!$D$22</f>
        <v>320791.92135312414</v>
      </c>
    </row>
    <row r="17" spans="1:24" x14ac:dyDescent="0.2">
      <c r="A17" s="236">
        <v>12</v>
      </c>
      <c r="B17" s="27">
        <f t="shared" si="0"/>
        <v>141142.14799999999</v>
      </c>
      <c r="C17" s="27">
        <f t="shared" si="1"/>
        <v>159042.5051729909</v>
      </c>
      <c r="D17" s="27">
        <f t="shared" si="2"/>
        <v>179002.37106793246</v>
      </c>
      <c r="E17" s="27">
        <f t="shared" si="3"/>
        <v>201234.95410385472</v>
      </c>
      <c r="F17" s="27">
        <f t="shared" si="4"/>
        <v>225973.12634584802</v>
      </c>
      <c r="G17" s="27">
        <f t="shared" si="5"/>
        <v>253471.01935415168</v>
      </c>
      <c r="H17" s="27">
        <f t="shared" si="6"/>
        <v>284005.73223289114</v>
      </c>
      <c r="I17" s="27">
        <f t="shared" si="7"/>
        <v>317879.15857346391</v>
      </c>
      <c r="J17" s="27">
        <f t="shared" si="8"/>
        <v>355419.93931724172</v>
      </c>
      <c r="K17" s="27">
        <f t="shared" si="9"/>
        <v>396985.54890478926</v>
      </c>
      <c r="L17" s="27">
        <f t="shared" si="10"/>
        <v>442964.52243455546</v>
      </c>
      <c r="N17" s="27">
        <f>B17-(B17/$G$2)*'Teplárna + FVE 18 kWp'!$I40+'Teplárna + FVE 18 kWp'!$D$22</f>
        <v>116023.97318399999</v>
      </c>
      <c r="O17" s="27">
        <f>C17-(C17/$G$2)*'Teplárna + FVE 18 kWp'!$I40+'Teplárna + FVE 18 kWp'!$D$22</f>
        <v>130089.82695842382</v>
      </c>
      <c r="P17" s="27">
        <f>D17-(D17/$G$2)*'Teplárna + FVE 18 kWp'!$I40+'Teplárna + FVE 18 kWp'!$D$22</f>
        <v>145774.01428061718</v>
      </c>
      <c r="Q17" s="27">
        <f>E17-(E17/$G$2)*'Teplárna + FVE 18 kWp'!$I40+'Teplárna + FVE 18 kWp'!$D$22</f>
        <v>163244.07138555968</v>
      </c>
      <c r="R17" s="27">
        <f>F17-(F17/$G$2)*'Teplárna + FVE 18 kWp'!$I40+'Teplárna + FVE 18 kWp'!$D$22</f>
        <v>182682.98593009266</v>
      </c>
      <c r="S17" s="27">
        <f>G17-(G17/$G$2)*'Teplárna + FVE 18 kWp'!$I40+'Teplárna + FVE 18 kWp'!$D$22</f>
        <v>204290.45098912221</v>
      </c>
      <c r="T17" s="27">
        <f>H17-(H17/$G$2)*'Teplárna + FVE 18 kWp'!$I40+'Teplárna + FVE 18 kWp'!$D$22</f>
        <v>228284.20721675854</v>
      </c>
      <c r="U17" s="27">
        <f>I17-(I17/$G$2)*'Teplárna + FVE 18 kWp'!$I40+'Teplárna + FVE 18 kWp'!$D$22</f>
        <v>254901.47843323016</v>
      </c>
      <c r="V17" s="27">
        <f>J17-(J17/$G$2)*'Teplárna + FVE 18 kWp'!$I40+'Teplárna + FVE 18 kWp'!$D$22</f>
        <v>284400.50615746045</v>
      </c>
      <c r="W17" s="27">
        <f>K17-(K17/$G$2)*'Teplárna + FVE 18 kWp'!$I40+'Teplárna + FVE 18 kWp'!$D$22</f>
        <v>317062.18887435034</v>
      </c>
      <c r="X17" s="27">
        <f>L17-(L17/$G$2)*'Teplárna + FVE 18 kWp'!$I40+'Teplárna + FVE 18 kWp'!$D$22</f>
        <v>353191.83210535935</v>
      </c>
    </row>
    <row r="18" spans="1:24" x14ac:dyDescent="0.2">
      <c r="A18" s="236">
        <v>13</v>
      </c>
      <c r="B18" s="27">
        <f t="shared" si="0"/>
        <v>141142.14799999999</v>
      </c>
      <c r="C18" s="27">
        <f t="shared" si="1"/>
        <v>160632.93022472083</v>
      </c>
      <c r="D18" s="27">
        <f t="shared" si="2"/>
        <v>182582.4184892911</v>
      </c>
      <c r="E18" s="27">
        <f t="shared" si="3"/>
        <v>207272.00272697036</v>
      </c>
      <c r="F18" s="27">
        <f t="shared" si="4"/>
        <v>235012.05139968195</v>
      </c>
      <c r="G18" s="27">
        <f t="shared" si="5"/>
        <v>266144.57032185927</v>
      </c>
      <c r="H18" s="27">
        <f t="shared" si="6"/>
        <v>301046.0761668646</v>
      </c>
      <c r="I18" s="27">
        <f t="shared" si="7"/>
        <v>340130.69967360637</v>
      </c>
      <c r="J18" s="27">
        <f t="shared" si="8"/>
        <v>383853.53446262109</v>
      </c>
      <c r="K18" s="27">
        <f t="shared" si="9"/>
        <v>432714.24830622034</v>
      </c>
      <c r="L18" s="27">
        <f t="shared" si="10"/>
        <v>487260.97467801103</v>
      </c>
      <c r="N18" s="27">
        <f>B18-(B18/$G$2)*'Teplárna + FVE 18 kWp'!$I41+'Teplárna + FVE 18 kWp'!$D$22</f>
        <v>116289.18892799999</v>
      </c>
      <c r="O18" s="27">
        <f>C18-(C18/$G$2)*'Teplárna + FVE 18 kWp'!$I41+'Teplárna + FVE 18 kWp'!$D$22</f>
        <v>131641.40128411958</v>
      </c>
      <c r="P18" s="27">
        <f>D18-(D18/$G$2)*'Teplárna + FVE 18 kWp'!$I41+'Teplárna + FVE 18 kWp'!$D$22</f>
        <v>148930.25101116867</v>
      </c>
      <c r="Q18" s="27">
        <f>E18-(E18/$G$2)*'Teplárna + FVE 18 kWp'!$I41+'Teplárna + FVE 18 kWp'!$D$22</f>
        <v>168377.3791885286</v>
      </c>
      <c r="R18" s="27">
        <f>F18-(F18/$G$2)*'Teplárna + FVE 18 kWp'!$I41+'Teplárna + FVE 18 kWp'!$D$22</f>
        <v>190227.25227635237</v>
      </c>
      <c r="S18" s="27">
        <f>G18-(G18/$G$2)*'Teplárna + FVE 18 kWp'!$I41+'Teplárna + FVE 18 kWp'!$D$22</f>
        <v>214749.25637878253</v>
      </c>
      <c r="T18" s="27">
        <f>H18-(H18/$G$2)*'Teplárna + FVE 18 kWp'!$I41+'Teplárna + FVE 18 kWp'!$D$22</f>
        <v>242239.96060517718</v>
      </c>
      <c r="U18" s="27">
        <f>I18-(I18/$G$2)*'Teplárna + FVE 18 kWp'!$I41+'Teplárna + FVE 18 kWp'!$D$22</f>
        <v>273025.5613582058</v>
      </c>
      <c r="V18" s="27">
        <f>J18-(J18/$G$2)*'Teplárna + FVE 18 kWp'!$I41+'Teplárna + FVE 18 kWp'!$D$22</f>
        <v>307464.52007999207</v>
      </c>
      <c r="W18" s="27">
        <f>K18-(K18/$G$2)*'Teplárna + FVE 18 kWp'!$I41+'Teplárna + FVE 18 kWp'!$D$22</f>
        <v>345950.40772421012</v>
      </c>
      <c r="X18" s="27">
        <f>L18-(L18/$G$2)*'Teplárna + FVE 18 kWp'!$I41+'Teplárna + FVE 18 kWp'!$D$22</f>
        <v>388914.96999451035</v>
      </c>
    </row>
    <row r="19" spans="1:24" x14ac:dyDescent="0.2">
      <c r="A19" s="236">
        <v>14</v>
      </c>
      <c r="B19" s="27">
        <f t="shared" si="0"/>
        <v>141142.14799999999</v>
      </c>
      <c r="C19" s="27">
        <f t="shared" si="1"/>
        <v>162239.25952696803</v>
      </c>
      <c r="D19" s="27">
        <f t="shared" si="2"/>
        <v>186234.06685907693</v>
      </c>
      <c r="E19" s="27">
        <f t="shared" si="3"/>
        <v>213490.16280877948</v>
      </c>
      <c r="F19" s="27">
        <f t="shared" si="4"/>
        <v>244412.53345566924</v>
      </c>
      <c r="G19" s="27">
        <f t="shared" si="5"/>
        <v>279451.79883795226</v>
      </c>
      <c r="H19" s="27">
        <f t="shared" si="6"/>
        <v>319108.84073687647</v>
      </c>
      <c r="I19" s="27">
        <f t="shared" si="7"/>
        <v>363939.84865075885</v>
      </c>
      <c r="J19" s="27">
        <f t="shared" si="8"/>
        <v>414561.81721963082</v>
      </c>
      <c r="K19" s="27">
        <f t="shared" si="9"/>
        <v>471658.53065378021</v>
      </c>
      <c r="L19" s="27">
        <f t="shared" si="10"/>
        <v>535987.07214581221</v>
      </c>
      <c r="N19" s="27">
        <f>B19-(B19/$G$2)*'Teplárna + FVE 18 kWp'!$I42+'Teplárna + FVE 18 kWp'!$D$22</f>
        <v>116554.40467199999</v>
      </c>
      <c r="O19" s="27">
        <f>C19-(C19/$G$2)*'Teplárna + FVE 18 kWp'!$I42+'Teplárna + FVE 18 kWp'!$D$22</f>
        <v>133211.50975563342</v>
      </c>
      <c r="P19" s="27">
        <f>D19-(D19/$G$2)*'Teplárna + FVE 18 kWp'!$I42+'Teplárna + FVE 18 kWp'!$D$22</f>
        <v>152156.47417322997</v>
      </c>
      <c r="Q19" s="27">
        <f>E19-(E19/$G$2)*'Teplárna + FVE 18 kWp'!$I42+'Teplárna + FVE 18 kWp'!$D$22</f>
        <v>173676.37057342866</v>
      </c>
      <c r="R19" s="27">
        <f>F19-(F19/$G$2)*'Teplárna + FVE 18 kWp'!$I42+'Teplárna + FVE 18 kWp'!$D$22</f>
        <v>198090.95342482472</v>
      </c>
      <c r="S19" s="27">
        <f>G19-(G19/$G$2)*'Teplárna + FVE 18 kWp'!$I42+'Teplárna + FVE 18 kWp'!$D$22</f>
        <v>225756.00722993611</v>
      </c>
      <c r="T19" s="27">
        <f>H19-(H19/$G$2)*'Teplárna + FVE 18 kWp'!$I42+'Teplárna + FVE 18 kWp'!$D$22</f>
        <v>257067.00036622575</v>
      </c>
      <c r="U19" s="27">
        <f>I19-(I19/$G$2)*'Teplárna + FVE 18 kWp'!$I42+'Teplárna + FVE 18 kWp'!$D$22</f>
        <v>292463.06910635525</v>
      </c>
      <c r="V19" s="27">
        <f>J19-(J19/$G$2)*'Teplárna + FVE 18 kWp'!$I42+'Teplárna + FVE 18 kWp'!$D$22</f>
        <v>332431.35807872104</v>
      </c>
      <c r="W19" s="27">
        <f>K19-(K19/$G$2)*'Teplárna + FVE 18 kWp'!$I42+'Teplárna + FVE 18 kWp'!$D$22</f>
        <v>377511.74523916241</v>
      </c>
      <c r="X19" s="27">
        <f>L19-(L19/$G$2)*'Teplárna + FVE 18 kWp'!$I42+'Teplárna + FVE 18 kWp'!$D$22</f>
        <v>428301.98134043801</v>
      </c>
    </row>
    <row r="20" spans="1:24" x14ac:dyDescent="0.2">
      <c r="A20" s="236">
        <v>15</v>
      </c>
      <c r="B20" s="27">
        <f t="shared" si="0"/>
        <v>141142.14799999999</v>
      </c>
      <c r="C20" s="27">
        <f t="shared" si="1"/>
        <v>163861.65212223772</v>
      </c>
      <c r="D20" s="27">
        <f t="shared" si="2"/>
        <v>189958.74819625847</v>
      </c>
      <c r="E20" s="27">
        <f t="shared" si="3"/>
        <v>219894.86769304288</v>
      </c>
      <c r="F20" s="27">
        <f t="shared" si="4"/>
        <v>254189.03479389602</v>
      </c>
      <c r="G20" s="27">
        <f t="shared" si="5"/>
        <v>293424.38877984986</v>
      </c>
      <c r="H20" s="27">
        <f t="shared" si="6"/>
        <v>338255.37118108908</v>
      </c>
      <c r="I20" s="27">
        <f t="shared" si="7"/>
        <v>389415.63805631199</v>
      </c>
      <c r="J20" s="27">
        <f t="shared" si="8"/>
        <v>447726.76259720133</v>
      </c>
      <c r="K20" s="27">
        <f t="shared" si="9"/>
        <v>514107.79841262044</v>
      </c>
      <c r="L20" s="27">
        <f t="shared" si="10"/>
        <v>589585.77936039353</v>
      </c>
      <c r="N20" s="27">
        <f>B20-(B20/$G$2)*'Teplárna + FVE 18 kWp'!$I43+'Teplárna + FVE 18 kWp'!$D$22</f>
        <v>116819.62041599999</v>
      </c>
      <c r="O20" s="27">
        <f>C20-(C20/$G$2)*'Teplárna + FVE 18 kWp'!$I43+'Teplárna + FVE 18 kWp'!$D$22</f>
        <v>134800.3678984491</v>
      </c>
      <c r="P20" s="27">
        <f>D20-(D20/$G$2)*'Teplárna + FVE 18 kWp'!$I43+'Teplárna + FVE 18 kWp'!$D$22</f>
        <v>155454.22072936923</v>
      </c>
      <c r="Q20" s="27">
        <f>E20-(E20/$G$2)*'Teplárna + FVE 18 kWp'!$I43+'Teplárna + FVE 18 kWp'!$D$22</f>
        <v>179146.36657815307</v>
      </c>
      <c r="R20" s="27">
        <f>F20-(F20/$G$2)*'Teplárna + FVE 18 kWp'!$I43+'Teplárna + FVE 18 kWp'!$D$22</f>
        <v>206287.57333353269</v>
      </c>
      <c r="S20" s="27">
        <f>G20-(G20/$G$2)*'Teplárna + FVE 18 kWp'!$I43+'Teplárna + FVE 18 kWp'!$D$22</f>
        <v>237339.35107525808</v>
      </c>
      <c r="T20" s="27">
        <f>H20-(H20/$G$2)*'Teplárna + FVE 18 kWp'!$I43+'Teplárna + FVE 18 kWp'!$D$22</f>
        <v>272819.64015242149</v>
      </c>
      <c r="U20" s="27">
        <f>I20-(I20/$G$2)*'Teplárna + FVE 18 kWp'!$I43+'Teplárna + FVE 18 kWp'!$D$22</f>
        <v>313309.07314659044</v>
      </c>
      <c r="V20" s="27">
        <f>J20-(J20/$G$2)*'Teplárna + FVE 18 kWp'!$I43+'Teplárna + FVE 18 kWp'!$D$22</f>
        <v>359457.86231673468</v>
      </c>
      <c r="W20" s="27">
        <f>K20-(K20/$G$2)*'Teplárna + FVE 18 kWp'!$I43+'Teplárna + FVE 18 kWp'!$D$22</f>
        <v>411993.36820624006</v>
      </c>
      <c r="X20" s="27">
        <f>L20-(L20/$G$2)*'Teplárna + FVE 18 kWp'!$I43+'Teplárna + FVE 18 kWp'!$D$22</f>
        <v>471728.40945560607</v>
      </c>
    </row>
    <row r="21" spans="1:24" x14ac:dyDescent="0.2">
      <c r="A21" s="236">
        <v>16</v>
      </c>
      <c r="B21" s="27">
        <f t="shared" si="0"/>
        <v>141142.14799999999</v>
      </c>
      <c r="C21" s="27">
        <f t="shared" si="1"/>
        <v>165500.26864346009</v>
      </c>
      <c r="D21" s="27">
        <f t="shared" si="2"/>
        <v>193757.92316018365</v>
      </c>
      <c r="E21" s="27">
        <f t="shared" si="3"/>
        <v>226491.71372383417</v>
      </c>
      <c r="F21" s="27">
        <f t="shared" si="4"/>
        <v>264356.59618565184</v>
      </c>
      <c r="G21" s="27">
        <f t="shared" si="5"/>
        <v>308095.60821884236</v>
      </c>
      <c r="H21" s="27">
        <f t="shared" si="6"/>
        <v>358550.69345195446</v>
      </c>
      <c r="I21" s="27">
        <f t="shared" si="7"/>
        <v>416674.73272025387</v>
      </c>
      <c r="J21" s="27">
        <f t="shared" si="8"/>
        <v>483544.90360497747</v>
      </c>
      <c r="K21" s="27">
        <f t="shared" si="9"/>
        <v>560377.5002697563</v>
      </c>
      <c r="L21" s="27">
        <f t="shared" si="10"/>
        <v>648544.35729643295</v>
      </c>
      <c r="N21" s="27">
        <f>B21-(B21/$G$2)*'Teplárna + FVE 18 kWp'!$I44+'Teplárna + FVE 18 kWp'!$D$22</f>
        <v>117084.83615999999</v>
      </c>
      <c r="O21" s="27">
        <f>C21-(C21/$G$2)*'Teplárna + FVE 18 kWp'!$I44+'Teplárna + FVE 18 kWp'!$D$22</f>
        <v>136408.19369514557</v>
      </c>
      <c r="P21" s="27">
        <f>D21-(D21/$G$2)*'Teplárna + FVE 18 kWp'!$I44+'Teplárna + FVE 18 kWp'!$D$22</f>
        <v>158825.06112608479</v>
      </c>
      <c r="Q21" s="27">
        <f>E21-(E21/$G$2)*'Teplárna + FVE 18 kWp'!$I44+'Teplárna + FVE 18 kWp'!$D$22</f>
        <v>184792.85838764484</v>
      </c>
      <c r="R21" s="27">
        <f>F21-(F21/$G$2)*'Teplárna + FVE 18 kWp'!$I44+'Teplárna + FVE 18 kWp'!$D$22</f>
        <v>214831.1635814576</v>
      </c>
      <c r="S21" s="27">
        <f>G21-(G21/$G$2)*'Teplárna + FVE 18 kWp'!$I44+'Teplárna + FVE 18 kWp'!$D$22</f>
        <v>249529.4303370374</v>
      </c>
      <c r="T21" s="27">
        <f>H21-(H21/$G$2)*'Teplárna + FVE 18 kWp'!$I44+'Teplárna + FVE 18 kWp'!$D$22</f>
        <v>289555.57462364243</v>
      </c>
      <c r="U21" s="27">
        <f>I21-(I21/$G$2)*'Teplárna + FVE 18 kWp'!$I44+'Teplárna + FVE 18 kWp'!$D$22</f>
        <v>335665.51917183743</v>
      </c>
      <c r="V21" s="27">
        <f>J21-(J21/$G$2)*'Teplárna + FVE 18 kWp'!$I44+'Teplárna + FVE 18 kWp'!$D$22</f>
        <v>388713.7916291267</v>
      </c>
      <c r="W21" s="27">
        <f>K21-(K21/$G$2)*'Teplárna + FVE 18 kWp'!$I44+'Teplárna + FVE 18 kWp'!$D$22</f>
        <v>449665.28117295442</v>
      </c>
      <c r="X21" s="27">
        <f>L21-(L21/$G$2)*'Teplárna + FVE 18 kWp'!$I44+'Teplárna + FVE 18 kWp'!$D$22</f>
        <v>519608.26758040342</v>
      </c>
    </row>
    <row r="22" spans="1:24" x14ac:dyDescent="0.2">
      <c r="A22" s="236">
        <v>17</v>
      </c>
      <c r="B22" s="27">
        <f t="shared" si="0"/>
        <v>141142.14799999999</v>
      </c>
      <c r="C22" s="27">
        <f t="shared" si="1"/>
        <v>167155.27132989469</v>
      </c>
      <c r="D22" s="27">
        <f t="shared" si="2"/>
        <v>197633.08162338732</v>
      </c>
      <c r="E22" s="27">
        <f t="shared" si="3"/>
        <v>233286.4651355492</v>
      </c>
      <c r="F22" s="27">
        <f t="shared" si="4"/>
        <v>274930.86003307794</v>
      </c>
      <c r="G22" s="27">
        <f t="shared" si="5"/>
        <v>323500.38862978452</v>
      </c>
      <c r="H22" s="27">
        <f t="shared" si="6"/>
        <v>380063.73505907174</v>
      </c>
      <c r="I22" s="27">
        <f t="shared" si="7"/>
        <v>445841.96401067165</v>
      </c>
      <c r="J22" s="27">
        <f t="shared" si="8"/>
        <v>522228.49589337572</v>
      </c>
      <c r="K22" s="27">
        <f t="shared" si="9"/>
        <v>610811.47529403446</v>
      </c>
      <c r="L22" s="27">
        <f t="shared" si="10"/>
        <v>713398.79302607628</v>
      </c>
      <c r="N22" s="27">
        <f>B22-(B22/$G$2)*'Teplárna + FVE 18 kWp'!$I45+'Teplárna + FVE 18 kWp'!$D$22</f>
        <v>117350.05190399999</v>
      </c>
      <c r="O22" s="27">
        <f>C22-(C22/$G$2)*'Teplárna + FVE 18 kWp'!$I45+'Teplárna + FVE 18 kWp'!$D$22</f>
        <v>138035.20761298607</v>
      </c>
      <c r="P22" s="27">
        <f>D22-(D22/$G$2)*'Teplárna + FVE 18 kWp'!$I45+'Teplárna + FVE 18 kWp'!$D$22</f>
        <v>162270.60001837724</v>
      </c>
      <c r="Q22" s="27">
        <f>E22-(E22/$G$2)*'Teplárna + FVE 18 kWp'!$I45+'Teplárna + FVE 18 kWp'!$D$22</f>
        <v>190621.51275378579</v>
      </c>
      <c r="R22" s="27">
        <f>F22-(F22/$G$2)*'Teplárna + FVE 18 kWp'!$I45+'Teplárna + FVE 18 kWp'!$D$22</f>
        <v>223736.36720388287</v>
      </c>
      <c r="S22" s="27">
        <f>G22-(G22/$G$2)*'Teplárna + FVE 18 kWp'!$I45+'Teplárna + FVE 18 kWp'!$D$22</f>
        <v>262357.96019730647</v>
      </c>
      <c r="T22" s="27">
        <f>H22-(H22/$G$2)*'Teplárna + FVE 18 kWp'!$I45+'Teplárna + FVE 18 kWp'!$D$22</f>
        <v>307336.08963886107</v>
      </c>
      <c r="U22" s="27">
        <f>I22-(I22/$G$2)*'Teplárna + FVE 18 kWp'!$I45+'Teplárna + FVE 18 kWp'!$D$22</f>
        <v>359641.72364020062</v>
      </c>
      <c r="V22" s="27">
        <f>J22-(J22/$G$2)*'Teplárna + FVE 18 kWp'!$I45+'Teplárna + FVE 18 kWp'!$D$22</f>
        <v>420382.88440067432</v>
      </c>
      <c r="W22" s="27">
        <f>K22-(K22/$G$2)*'Teplárna + FVE 18 kWp'!$I45+'Teplárna + FVE 18 kWp'!$D$22</f>
        <v>490822.43519320688</v>
      </c>
      <c r="X22" s="27">
        <f>L22-(L22/$G$2)*'Teplárna + FVE 18 kWp'!$I45+'Teplárna + FVE 18 kWp'!$D$22</f>
        <v>572397.97743560409</v>
      </c>
    </row>
    <row r="23" spans="1:24" x14ac:dyDescent="0.2">
      <c r="A23" s="236">
        <v>18</v>
      </c>
      <c r="B23" s="27">
        <f t="shared" si="0"/>
        <v>141142.14799999999</v>
      </c>
      <c r="C23" s="27">
        <f t="shared" si="1"/>
        <v>168826.82404319363</v>
      </c>
      <c r="D23" s="27">
        <f t="shared" si="2"/>
        <v>201585.74325585508</v>
      </c>
      <c r="E23" s="27">
        <f t="shared" si="3"/>
        <v>240285.05908961568</v>
      </c>
      <c r="F23" s="27">
        <f t="shared" si="4"/>
        <v>285928.09443440108</v>
      </c>
      <c r="G23" s="27">
        <f t="shared" si="5"/>
        <v>339675.40806127375</v>
      </c>
      <c r="H23" s="27">
        <f t="shared" si="6"/>
        <v>402867.55916261609</v>
      </c>
      <c r="I23" s="27">
        <f t="shared" si="7"/>
        <v>477050.90149141871</v>
      </c>
      <c r="J23" s="27">
        <f t="shared" si="8"/>
        <v>564006.77556484577</v>
      </c>
      <c r="K23" s="27">
        <f t="shared" si="9"/>
        <v>665784.50807049766</v>
      </c>
      <c r="L23" s="27">
        <f t="shared" si="10"/>
        <v>784738.67232868401</v>
      </c>
      <c r="N23" s="27">
        <f>B23-(B23/$G$2)*'Teplárna + FVE 18 kWp'!$I46+'Teplárna + FVE 18 kWp'!$D$22</f>
        <v>117615.26764799999</v>
      </c>
      <c r="O23" s="27">
        <f>C23-(C23/$G$2)*'Teplárna + FVE 18 kWp'!$I46+'Teplárna + FVE 18 kWp'!$D$22</f>
        <v>139681.6326318139</v>
      </c>
      <c r="P23" s="27">
        <f>D23-(D23/$G$2)*'Teplárna + FVE 18 kWp'!$I46+'Teplárna + FVE 18 kWp'!$D$22</f>
        <v>165792.47700991094</v>
      </c>
      <c r="Q23" s="27">
        <f>E23-(E23/$G$2)*'Teplárna + FVE 18 kWp'!$I46+'Teplárna + FVE 18 kWp'!$D$22</f>
        <v>196638.17758734629</v>
      </c>
      <c r="R23" s="27">
        <f>F23-(F23/$G$2)*'Teplárna + FVE 18 kWp'!$I46+'Teplárna + FVE 18 kWp'!$D$22</f>
        <v>233018.44352637176</v>
      </c>
      <c r="S23" s="27">
        <f>G23-(G23/$G$2)*'Teplárna + FVE 18 kWp'!$I46+'Teplárna + FVE 18 kWp'!$D$22</f>
        <v>275858.31051775994</v>
      </c>
      <c r="T23" s="27">
        <f>H23-(H23/$G$2)*'Teplárna + FVE 18 kWp'!$I46+'Teplárna + FVE 18 kWp'!$D$22</f>
        <v>326226.28549926088</v>
      </c>
      <c r="U23" s="27">
        <f>I23-(I23/$G$2)*'Teplárna + FVE 18 kWp'!$I46+'Teplárna + FVE 18 kWp'!$D$22</f>
        <v>385354.90614819276</v>
      </c>
      <c r="V23" s="27">
        <f>J23-(J23/$G$2)*'Teplárna + FVE 18 kWp'!$I46+'Teplárna + FVE 18 kWp'!$D$22</f>
        <v>454664.00883724308</v>
      </c>
      <c r="W23" s="27">
        <f>K23-(K23/$G$2)*'Teplárna + FVE 18 kWp'!$I46+'Teplárna + FVE 18 kWp'!$D$22</f>
        <v>535787.03116160387</v>
      </c>
      <c r="X23" s="27">
        <f>L23-(L23/$G$2)*'Teplárna + FVE 18 kWp'!$I46+'Teplárna + FVE 18 kWp'!$D$22</f>
        <v>630600.71078604099</v>
      </c>
    </row>
    <row r="24" spans="1:24" x14ac:dyDescent="0.2">
      <c r="A24" s="236">
        <v>19</v>
      </c>
      <c r="B24" s="27">
        <f t="shared" si="0"/>
        <v>141142.14799999999</v>
      </c>
      <c r="C24" s="27">
        <f t="shared" si="1"/>
        <v>170515.09228362556</v>
      </c>
      <c r="D24" s="27">
        <f t="shared" si="2"/>
        <v>205617.45812097218</v>
      </c>
      <c r="E24" s="27">
        <f t="shared" si="3"/>
        <v>247493.61086230417</v>
      </c>
      <c r="F24" s="27">
        <f t="shared" si="4"/>
        <v>297365.21821177716</v>
      </c>
      <c r="G24" s="27">
        <f t="shared" si="5"/>
        <v>356659.17846433743</v>
      </c>
      <c r="H24" s="27">
        <f t="shared" si="6"/>
        <v>427039.61271237308</v>
      </c>
      <c r="I24" s="27">
        <f t="shared" si="7"/>
        <v>510444.46459581808</v>
      </c>
      <c r="J24" s="27">
        <f t="shared" si="8"/>
        <v>609127.31761003344</v>
      </c>
      <c r="K24" s="27">
        <f t="shared" si="9"/>
        <v>725705.11379684252</v>
      </c>
      <c r="L24" s="27">
        <f t="shared" si="10"/>
        <v>863212.53956155246</v>
      </c>
      <c r="N24" s="27">
        <f>B24-(B24/$G$2)*'Teplárna + FVE 18 kWp'!$I47+'Teplárna + FVE 18 kWp'!$D$22</f>
        <v>117880.48339199999</v>
      </c>
      <c r="O24" s="27">
        <f>C24-(C24/$G$2)*'Teplárna + FVE 18 kWp'!$I47+'Teplárna + FVE 18 kWp'!$D$22</f>
        <v>141347.69427225698</v>
      </c>
      <c r="P24" s="27">
        <f>D24-(D24/$G$2)*'Teplárna + FVE 18 kWp'!$I47+'Teplárna + FVE 18 kWp'!$D$22</f>
        <v>169392.36740909863</v>
      </c>
      <c r="Q24" s="27">
        <f>E24-(E24/$G$2)*'Teplárna + FVE 18 kWp'!$I47+'Teplárna + FVE 18 kWp'!$D$22</f>
        <v>202848.88772744205</v>
      </c>
      <c r="R24" s="27">
        <f>F24-(F24/$G$2)*'Teplárna + FVE 18 kWp'!$I47+'Teplárna + FVE 18 kWp'!$D$22</f>
        <v>242693.29403913362</v>
      </c>
      <c r="S24" s="27">
        <f>G24-(G24/$G$2)*'Teplárna + FVE 18 kWp'!$I47+'Teplárna + FVE 18 kWp'!$D$22</f>
        <v>290065.5920197654</v>
      </c>
      <c r="T24" s="27">
        <f>H24-(H24/$G$2)*'Teplárna + FVE 18 kWp'!$I47+'Teplárna + FVE 18 kWp'!$D$22</f>
        <v>346295.31405220873</v>
      </c>
      <c r="U24" s="27">
        <f>I24-(I24/$G$2)*'Teplárna + FVE 18 kWp'!$I47+'Teplárna + FVE 18 kWp'!$D$22</f>
        <v>412930.76021946676</v>
      </c>
      <c r="V24" s="27">
        <f>J24-(J24/$G$2)*'Teplárna + FVE 18 kWp'!$I47+'Teplárna + FVE 18 kWp'!$D$22</f>
        <v>491772.40781149862</v>
      </c>
      <c r="W24" s="27">
        <f>K24-(K24/$G$2)*'Teplárna + FVE 18 kWp'!$I47+'Teplárna + FVE 18 kWp'!$D$22</f>
        <v>584911.03568124736</v>
      </c>
      <c r="X24" s="27">
        <f>L24-(L24/$G$2)*'Teplárna + FVE 18 kWp'!$I47+'Teplárna + FVE 18 kWp'!$D$22</f>
        <v>694771.17523220903</v>
      </c>
    </row>
    <row r="25" spans="1:24" x14ac:dyDescent="0.2">
      <c r="A25" s="236">
        <v>20</v>
      </c>
      <c r="B25" s="27">
        <f t="shared" si="0"/>
        <v>141142.14799999999</v>
      </c>
      <c r="C25" s="27">
        <f t="shared" si="1"/>
        <v>172220.24320646183</v>
      </c>
      <c r="D25" s="27">
        <f t="shared" si="2"/>
        <v>209729.80728339162</v>
      </c>
      <c r="E25" s="27">
        <f t="shared" si="3"/>
        <v>254918.41918817328</v>
      </c>
      <c r="F25" s="27">
        <f t="shared" si="4"/>
        <v>309259.82694024825</v>
      </c>
      <c r="G25" s="27">
        <f>G24*(1+$G$4)</f>
        <v>374492.13738755434</v>
      </c>
      <c r="H25" s="27">
        <f t="shared" si="6"/>
        <v>452661.98947511549</v>
      </c>
      <c r="I25" s="27">
        <f t="shared" si="7"/>
        <v>546175.57711752539</v>
      </c>
      <c r="J25" s="27">
        <f t="shared" si="8"/>
        <v>657857.50301883614</v>
      </c>
      <c r="K25" s="27">
        <f t="shared" si="9"/>
        <v>791018.57403855841</v>
      </c>
      <c r="L25" s="27">
        <f t="shared" si="10"/>
        <v>949533.79351770773</v>
      </c>
      <c r="N25" s="27">
        <f>B25-(B25/$G$2)*'Teplárna + FVE 18 kWp'!$I48+'Teplárna + FVE 18 kWp'!$D$22</f>
        <v>118145.699136</v>
      </c>
      <c r="O25" s="27">
        <f>C25-(C25/$G$2)*'Teplárna + FVE 18 kWp'!$I48+'Teplárna + FVE 18 kWp'!$D$22</f>
        <v>143033.62062424576</v>
      </c>
      <c r="P25" s="27">
        <f>D25-(D25/$G$2)*'Teplárna + FVE 18 kWp'!$I48+'Teplárna + FVE 18 kWp'!$D$22</f>
        <v>173071.98300144987</v>
      </c>
      <c r="Q25" s="27">
        <f>E25-(E25/$G$2)*'Teplárna + FVE 18 kWp'!$I48+'Teplárna + FVE 18 kWp'!$D$22</f>
        <v>209259.87089411492</v>
      </c>
      <c r="R25" s="27">
        <f>F25-(F25/$G$2)*'Teplárna + FVE 18 kWp'!$I48+'Teplárna + FVE 18 kWp'!$D$22</f>
        <v>252777.48935527421</v>
      </c>
      <c r="S25" s="27">
        <f>G25-(G25/$G$2)*'Teplárna + FVE 18 kWp'!$I48+'Teplárna + FVE 18 kWp'!$D$22</f>
        <v>305016.74694567703</v>
      </c>
      <c r="T25" s="27">
        <f>H25-(H25/$G$2)*'Teplárna + FVE 18 kWp'!$I48+'Teplárna + FVE 18 kWp'!$D$22</f>
        <v>367616.63051571301</v>
      </c>
      <c r="U25" s="27">
        <f>I25-(I25/$G$2)*'Teplárna + FVE 18 kWp'!$I48+'Teplárna + FVE 18 kWp'!$D$22</f>
        <v>442504.06527859299</v>
      </c>
      <c r="V25" s="27">
        <f>J25-(J25/$G$2)*'Teplárna + FVE 18 kWp'!$I48+'Teplárna + FVE 18 kWp'!$D$22</f>
        <v>531941.04605307663</v>
      </c>
      <c r="W25" s="27">
        <f>K25-(K25/$G$2)*'Teplárna + FVE 18 kWp'!$I48+'Teplárna + FVE 18 kWp'!$D$22</f>
        <v>638578.9290640176</v>
      </c>
      <c r="X25" s="27">
        <f>L25-(L25/$G$2)*'Teplárna + FVE 18 kWp'!$I48+'Teplárna + FVE 18 kWp'!$D$22</f>
        <v>765520.88965975028</v>
      </c>
    </row>
    <row r="26" spans="1:24" x14ac:dyDescent="0.2">
      <c r="A26" s="236" t="s">
        <v>1</v>
      </c>
      <c r="B26" s="27">
        <f t="shared" ref="B26:L26" si="11">NPV($B$27,B6:B25)</f>
        <v>2099838.7586206896</v>
      </c>
      <c r="C26" s="27">
        <f t="shared" si="11"/>
        <v>2312292.735303665</v>
      </c>
      <c r="D26" s="27">
        <f t="shared" si="11"/>
        <v>2552023.5552553837</v>
      </c>
      <c r="E26" s="27">
        <f t="shared" si="11"/>
        <v>2822842.9600000009</v>
      </c>
      <c r="F26" s="27">
        <f t="shared" si="11"/>
        <v>3129102.0717504309</v>
      </c>
      <c r="G26" s="27">
        <f t="shared" si="11"/>
        <v>3475766.1017575925</v>
      </c>
      <c r="H26" s="27">
        <f t="shared" si="11"/>
        <v>3868498.9879656136</v>
      </c>
      <c r="I26" s="27">
        <f t="shared" si="11"/>
        <v>4313759.210980285</v>
      </c>
      <c r="J26" s="27">
        <f t="shared" si="11"/>
        <v>4818908.1844316041</v>
      </c>
      <c r="K26" s="27">
        <f t="shared" si="11"/>
        <v>5392332.7789375884</v>
      </c>
      <c r="L26" s="27">
        <f t="shared" si="11"/>
        <v>6043583.7196637215</v>
      </c>
      <c r="M26" s="236" t="s">
        <v>1</v>
      </c>
      <c r="N26" s="27">
        <f>NPV($B$27,N6:N25)+N5</f>
        <v>2515358.0396930347</v>
      </c>
      <c r="O26" s="27">
        <f t="shared" ref="O26:X26" si="12">NPV($B$27,O6:O25)+O5</f>
        <v>2682732.57676531</v>
      </c>
      <c r="P26" s="27">
        <f t="shared" si="12"/>
        <v>2871705.0081988932</v>
      </c>
      <c r="Q26" s="27">
        <f t="shared" si="12"/>
        <v>3085302.4421825972</v>
      </c>
      <c r="R26" s="27">
        <f t="shared" si="12"/>
        <v>3326981.1627991218</v>
      </c>
      <c r="S26" s="27">
        <f t="shared" si="12"/>
        <v>3600686.1538877469</v>
      </c>
      <c r="T26" s="27">
        <f t="shared" si="12"/>
        <v>3910918.5418644105</v>
      </c>
      <c r="U26" s="27">
        <f t="shared" si="12"/>
        <v>4262811.9543730021</v>
      </c>
      <c r="V26" s="27">
        <f t="shared" si="12"/>
        <v>4662218.9090952901</v>
      </c>
      <c r="W26" s="27">
        <f t="shared" si="12"/>
        <v>5115808.4773266166</v>
      </c>
      <c r="X26" s="27">
        <f t="shared" si="12"/>
        <v>5631176.6113152998</v>
      </c>
    </row>
    <row r="27" spans="1:24" x14ac:dyDescent="0.2">
      <c r="A27" s="236" t="s">
        <v>146</v>
      </c>
      <c r="B27" s="236">
        <v>0.03</v>
      </c>
    </row>
    <row r="29" spans="1:24" x14ac:dyDescent="0.2">
      <c r="E29" s="283" t="s">
        <v>110</v>
      </c>
      <c r="F29" s="283"/>
    </row>
    <row r="30" spans="1:24" x14ac:dyDescent="0.2"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</row>
    <row r="31" spans="1:24" x14ac:dyDescent="0.2">
      <c r="A31" s="236" t="s">
        <v>0</v>
      </c>
      <c r="B31" s="236">
        <v>0</v>
      </c>
      <c r="C31" s="236">
        <v>0.01</v>
      </c>
      <c r="D31" s="236">
        <v>0.02</v>
      </c>
      <c r="E31" s="236">
        <v>0.03</v>
      </c>
      <c r="F31" s="236">
        <v>0.04</v>
      </c>
      <c r="G31" s="236">
        <v>0.05</v>
      </c>
      <c r="H31" s="236">
        <v>0.06</v>
      </c>
      <c r="I31" s="236">
        <v>7.0000000000000007E-2</v>
      </c>
      <c r="J31" s="236">
        <v>0.08</v>
      </c>
      <c r="K31" s="236">
        <v>0.09</v>
      </c>
      <c r="L31" s="236">
        <v>0.1</v>
      </c>
    </row>
    <row r="32" spans="1:24" x14ac:dyDescent="0.2">
      <c r="A32" s="236">
        <v>0</v>
      </c>
      <c r="B32" s="27">
        <f>'Teplárna + FVE 10 kWp'!$D$21</f>
        <v>426563</v>
      </c>
      <c r="C32" s="27">
        <f>'Teplárna + FVE 10 kWp'!$D$21</f>
        <v>426563</v>
      </c>
      <c r="D32" s="27">
        <f>'Teplárna + FVE 10 kWp'!$D$21</f>
        <v>426563</v>
      </c>
      <c r="E32" s="27">
        <f>'Teplárna + FVE 10 kWp'!$D$21</f>
        <v>426563</v>
      </c>
      <c r="F32" s="27">
        <f>'Teplárna + FVE 10 kWp'!$D$21</f>
        <v>426563</v>
      </c>
      <c r="G32" s="27">
        <f>'Teplárna + FVE 10 kWp'!$D$21</f>
        <v>426563</v>
      </c>
      <c r="H32" s="27">
        <f>'Teplárna + FVE 10 kWp'!$D$21</f>
        <v>426563</v>
      </c>
      <c r="I32" s="27">
        <f>'Teplárna + FVE 10 kWp'!$D$21</f>
        <v>426563</v>
      </c>
      <c r="J32" s="27">
        <f>'Teplárna + FVE 10 kWp'!$D$21</f>
        <v>426563</v>
      </c>
      <c r="K32" s="27">
        <f>'Teplárna + FVE 10 kWp'!$D$21</f>
        <v>426563</v>
      </c>
      <c r="L32" s="27">
        <f>'Teplárna + FVE 10 kWp'!$D$21</f>
        <v>426563</v>
      </c>
    </row>
    <row r="33" spans="1:12" x14ac:dyDescent="0.2">
      <c r="A33" s="236">
        <v>1</v>
      </c>
      <c r="B33" s="27">
        <f>B6-(B6/$G$2)*'Teplárna + FVE 10 kWp'!$I30+'Teplárna + FVE 10 kWp'!$D$23</f>
        <v>126646.48655999999</v>
      </c>
      <c r="C33" s="27">
        <f>C6-(C6/$G$2)*'Teplárna + FVE 10 kWp'!$I30+'Teplárna + FVE 10 kWp'!$D$23</f>
        <v>127880.08242559998</v>
      </c>
      <c r="D33" s="27">
        <f>D6-(D6/$G$2)*'Teplárna + FVE 10 kWp'!$I30+'Teplárna + FVE 10 kWp'!$D$23</f>
        <v>129113.67829119999</v>
      </c>
      <c r="E33" s="27">
        <f>E6-(E6/$G$2)*'Teplárna + FVE 10 kWp'!$I30+'Teplárna + FVE 10 kWp'!$D$23</f>
        <v>130347.27415679998</v>
      </c>
      <c r="F33" s="27">
        <f>F6-(F6/$G$2)*'Teplárna + FVE 10 kWp'!$I30+'Teplárna + FVE 10 kWp'!$D$23</f>
        <v>131580.87002239999</v>
      </c>
      <c r="G33" s="27">
        <f>G6-(G6/$G$2)*'Teplárna + FVE 10 kWp'!$I30+'Teplárna + FVE 10 kWp'!$D$23</f>
        <v>132814.46588800001</v>
      </c>
      <c r="H33" s="27">
        <f>H6-(H6/$G$2)*'Teplárna + FVE 10 kWp'!$I30+'Teplárna + FVE 10 kWp'!$D$23</f>
        <v>134048.06175359999</v>
      </c>
      <c r="I33" s="27">
        <f>I6-(I6/$G$2)*'Teplárna + FVE 10 kWp'!$I30+'Teplárna + FVE 10 kWp'!$D$23</f>
        <v>135281.65761920001</v>
      </c>
      <c r="J33" s="27">
        <f>J6-(J6/$G$2)*'Teplárna + FVE 10 kWp'!$I30+'Teplárna + FVE 10 kWp'!$D$23</f>
        <v>136515.25348479999</v>
      </c>
      <c r="K33" s="27">
        <f>K6-(K6/$G$2)*'Teplárna + FVE 10 kWp'!$I30+'Teplárna + FVE 10 kWp'!$D$23</f>
        <v>137748.84935039998</v>
      </c>
      <c r="L33" s="27">
        <f>L6-(L6/$G$2)*'Teplárna + FVE 10 kWp'!$I30+'Teplárna + FVE 10 kWp'!$D$23</f>
        <v>138982.44521599999</v>
      </c>
    </row>
    <row r="34" spans="1:12" x14ac:dyDescent="0.2">
      <c r="A34" s="236">
        <v>2</v>
      </c>
      <c r="B34" s="27">
        <f>B7-(B7/$G$2)*'Teplárna + FVE 10 kWp'!$I31+'Teplárna + FVE 10 kWp'!$D$23</f>
        <v>126788.74705151998</v>
      </c>
      <c r="C34" s="27">
        <f>C7-(C7/$G$2)*'Teplárna + FVE 10 kWp'!$I31+'Teplárna + FVE 10 kWp'!$D$23</f>
        <v>129271.13417725552</v>
      </c>
      <c r="D34" s="27">
        <f>D7-(D7/$G$2)*'Teplárna + FVE 10 kWp'!$I31+'Teplárna + FVE 10 kWp'!$D$23</f>
        <v>131778.22167240141</v>
      </c>
      <c r="E34" s="27">
        <f>E7-(E7/$G$2)*'Teplárna + FVE 10 kWp'!$I31+'Teplárna + FVE 10 kWp'!$D$23</f>
        <v>134310.00953695757</v>
      </c>
      <c r="F34" s="27">
        <f>F7-(F7/$G$2)*'Teplárna + FVE 10 kWp'!$I31+'Teplárna + FVE 10 kWp'!$D$23</f>
        <v>136866.49777092403</v>
      </c>
      <c r="G34" s="27">
        <f>G7-(G7/$G$2)*'Teplárna + FVE 10 kWp'!$I31+'Teplárna + FVE 10 kWp'!$D$23</f>
        <v>139447.6863743008</v>
      </c>
      <c r="H34" s="27">
        <f>H7-(H7/$G$2)*'Teplárna + FVE 10 kWp'!$I31+'Teplárna + FVE 10 kWp'!$D$23</f>
        <v>142053.57534708784</v>
      </c>
      <c r="I34" s="27">
        <f>I7-(I7/$G$2)*'Teplárna + FVE 10 kWp'!$I31+'Teplárna + FVE 10 kWp'!$D$23</f>
        <v>144684.16468928524</v>
      </c>
      <c r="J34" s="27">
        <f>J7-(J7/$G$2)*'Teplárna + FVE 10 kWp'!$I31+'Teplárna + FVE 10 kWp'!$D$23</f>
        <v>147339.45440089292</v>
      </c>
      <c r="K34" s="27">
        <f>K7-(K7/$G$2)*'Teplárna + FVE 10 kWp'!$I31+'Teplárna + FVE 10 kWp'!$D$23</f>
        <v>150019.4444819109</v>
      </c>
      <c r="L34" s="27">
        <f>L7-(L7/$G$2)*'Teplárna + FVE 10 kWp'!$I31+'Teplárna + FVE 10 kWp'!$D$23</f>
        <v>152724.13493233919</v>
      </c>
    </row>
    <row r="35" spans="1:12" x14ac:dyDescent="0.2">
      <c r="A35" s="236">
        <v>3</v>
      </c>
      <c r="B35" s="27">
        <f>B8-(B8/$G$2)*'Teplárna + FVE 10 kWp'!$I32+'Teplárna + FVE 10 kWp'!$D$23</f>
        <v>126931.00754303997</v>
      </c>
      <c r="C35" s="27">
        <f>C8-(C8/$G$2)*'Teplárna + FVE 10 kWp'!$I32+'Teplárna + FVE 10 kWp'!$D$23</f>
        <v>130677.54764570163</v>
      </c>
      <c r="D35" s="27">
        <f>D8-(D8/$G$2)*'Teplárna + FVE 10 kWp'!$I32+'Teplárna + FVE 10 kWp'!$D$23</f>
        <v>134499.01607753441</v>
      </c>
      <c r="E35" s="27">
        <f>E8-(E8/$G$2)*'Teplárna + FVE 10 kWp'!$I32+'Teplárna + FVE 10 kWp'!$D$23</f>
        <v>138396.15470318345</v>
      </c>
      <c r="F35" s="27">
        <f>F8-(F8/$G$2)*'Teplárna + FVE 10 kWp'!$I32+'Teplárna + FVE 10 kWp'!$D$23</f>
        <v>142369.70538729415</v>
      </c>
      <c r="G35" s="27">
        <f>G8-(G8/$G$2)*'Teplárna + FVE 10 kWp'!$I32+'Teplárna + FVE 10 kWp'!$D$23</f>
        <v>146420.40999451169</v>
      </c>
      <c r="H35" s="27">
        <f>H8-(H8/$G$2)*'Teplárna + FVE 10 kWp'!$I32+'Teplárna + FVE 10 kWp'!$D$23</f>
        <v>150549.01038948132</v>
      </c>
      <c r="I35" s="27">
        <f>I8-(I8/$G$2)*'Teplárna + FVE 10 kWp'!$I32+'Teplárna + FVE 10 kWp'!$D$23</f>
        <v>154756.24843684837</v>
      </c>
      <c r="J35" s="27">
        <f>J8-(J8/$G$2)*'Teplárna + FVE 10 kWp'!$I32+'Teplárna + FVE 10 kWp'!$D$23</f>
        <v>159042.86600125799</v>
      </c>
      <c r="K35" s="27">
        <f>K8-(K8/$G$2)*'Teplárna + FVE 10 kWp'!$I32+'Teplárna + FVE 10 kWp'!$D$23</f>
        <v>163409.60494735555</v>
      </c>
      <c r="L35" s="27">
        <f>L8-(L8/$G$2)*'Teplárna + FVE 10 kWp'!$I32+'Teplárna + FVE 10 kWp'!$D$23</f>
        <v>167857.20713978625</v>
      </c>
    </row>
    <row r="36" spans="1:12" x14ac:dyDescent="0.2">
      <c r="A36" s="236">
        <v>4</v>
      </c>
      <c r="B36" s="27">
        <f>B9-(B9/$G$2)*'Teplárna + FVE 10 kWp'!$I33+'Teplárna + FVE 10 kWp'!$D$23</f>
        <v>127073.26803455998</v>
      </c>
      <c r="C36" s="27">
        <f>C9-(C9/$G$2)*'Teplárna + FVE 10 kWp'!$I33+'Teplárna + FVE 10 kWp'!$D$23</f>
        <v>132099.49096009892</v>
      </c>
      <c r="D36" s="27">
        <f>D9-(D9/$G$2)*'Teplárna + FVE 10 kWp'!$I33+'Teplárna + FVE 10 kWp'!$D$23</f>
        <v>137277.24573020375</v>
      </c>
      <c r="E36" s="27">
        <f>E9-(E9/$G$2)*'Teplárna + FVE 10 kWp'!$I33+'Teplárna + FVE 10 kWp'!$D$23</f>
        <v>142609.54778079965</v>
      </c>
      <c r="F36" s="27">
        <f>F9-(F9/$G$2)*'Teplárna + FVE 10 kWp'!$I33+'Teplárna + FVE 10 kWp'!$D$23</f>
        <v>148099.44225654041</v>
      </c>
      <c r="G36" s="27">
        <f>G9-(G9/$G$2)*'Teplárna + FVE 10 kWp'!$I33+'Teplárna + FVE 10 kWp'!$D$23</f>
        <v>153750.0040108079</v>
      </c>
      <c r="H36" s="27">
        <f>H9-(H9/$G$2)*'Teplárna + FVE 10 kWp'!$I33+'Teplárna + FVE 10 kWp'!$D$23</f>
        <v>159564.3376057125</v>
      </c>
      <c r="I36" s="27">
        <f>I9-(I9/$G$2)*'Teplárna + FVE 10 kWp'!$I33+'Teplárna + FVE 10 kWp'!$D$23</f>
        <v>165545.57731209285</v>
      </c>
      <c r="J36" s="27">
        <f>J9-(J9/$G$2)*'Teplárna + FVE 10 kWp'!$I33+'Teplárna + FVE 10 kWp'!$D$23</f>
        <v>171696.88710951578</v>
      </c>
      <c r="K36" s="27">
        <f>K9-(K9/$G$2)*'Teplárna + FVE 10 kWp'!$I33+'Teplárna + FVE 10 kWp'!$D$23</f>
        <v>178021.46068627678</v>
      </c>
      <c r="L36" s="27">
        <f>L9-(L9/$G$2)*'Teplárna + FVE 10 kWp'!$I33+'Teplárna + FVE 10 kWp'!$D$23</f>
        <v>184522.52143939931</v>
      </c>
    </row>
    <row r="37" spans="1:12" x14ac:dyDescent="0.2">
      <c r="A37" s="236">
        <v>5</v>
      </c>
      <c r="B37" s="27">
        <f>B10-(B10/$G$2)*'Teplárna + FVE 10 kWp'!$I34+'Teplárna + FVE 10 kWp'!$D$23</f>
        <v>127215.52852607999</v>
      </c>
      <c r="C37" s="27">
        <f>C10-(C10/$G$2)*'Teplárna + FVE 10 kWp'!$I34+'Teplárna + FVE 10 kWp'!$D$23</f>
        <v>133537.1340760196</v>
      </c>
      <c r="D37" s="27">
        <f>D10-(D10/$G$2)*'Teplárna + FVE 10 kWp'!$I34+'Teplárna + FVE 10 kWp'!$D$23</f>
        <v>140114.11972254887</v>
      </c>
      <c r="E37" s="27">
        <f>E10-(E10/$G$2)*'Teplárna + FVE 10 kWp'!$I34+'Teplárna + FVE 10 kWp'!$D$23</f>
        <v>146954.14611383996</v>
      </c>
      <c r="F37" s="27">
        <f>F10-(F10/$G$2)*'Teplárna + FVE 10 kWp'!$I34+'Teplárna + FVE 10 kWp'!$D$23</f>
        <v>154065.02558670667</v>
      </c>
      <c r="G37" s="27">
        <f>G10-(G10/$G$2)*'Teplárna + FVE 10 kWp'!$I34+'Teplárna + FVE 10 kWp'!$D$23</f>
        <v>161454.72365374747</v>
      </c>
      <c r="H37" s="27">
        <f>H10-(H10/$G$2)*'Teplárna + FVE 10 kWp'!$I34+'Teplárna + FVE 10 kWp'!$D$23</f>
        <v>169131.36049048926</v>
      </c>
      <c r="I37" s="27">
        <f>I10-(I10/$G$2)*'Teplárna + FVE 10 kWp'!$I34+'Teplárna + FVE 10 kWp'!$D$23</f>
        <v>177103.21242253095</v>
      </c>
      <c r="J37" s="27">
        <f>J10-(J10/$G$2)*'Teplárna + FVE 10 kWp'!$I34+'Teplárna + FVE 10 kWp'!$D$23</f>
        <v>185378.71341268675</v>
      </c>
      <c r="K37" s="27">
        <f>K10-(K10/$G$2)*'Teplárna + FVE 10 kWp'!$I34+'Teplárna + FVE 10 kWp'!$D$23</f>
        <v>193966.45654813023</v>
      </c>
      <c r="L37" s="27">
        <f>L10-(L10/$G$2)*'Teplárna + FVE 10 kWp'!$I34+'Teplárna + FVE 10 kWp'!$D$23</f>
        <v>202875.19552753714</v>
      </c>
    </row>
    <row r="38" spans="1:12" x14ac:dyDescent="0.2">
      <c r="A38" s="236">
        <v>6</v>
      </c>
      <c r="B38" s="27">
        <f>B11-(B11/$G$2)*'Teplárna + FVE 10 kWp'!$I35+'Teplárna + FVE 10 kWp'!$D$23</f>
        <v>127357.78901759998</v>
      </c>
      <c r="C38" s="27">
        <f>C11-(C11/$G$2)*'Teplárna + FVE 10 kWp'!$I35+'Teplárna + FVE 10 kWp'!$D$23</f>
        <v>134990.64879516268</v>
      </c>
      <c r="D38" s="27">
        <f>D11-(D11/$G$2)*'Teplárna + FVE 10 kWp'!$I35+'Teplárna + FVE 10 kWp'!$D$23</f>
        <v>143010.87253629568</v>
      </c>
      <c r="E38" s="27">
        <f>E11-(E11/$G$2)*'Teplárna + FVE 10 kWp'!$I35+'Teplárna + FVE 10 kWp'!$D$23</f>
        <v>151434.02996385997</v>
      </c>
      <c r="F38" s="27">
        <f>F11-(F11/$G$2)*'Teplárna + FVE 10 kWp'!$I35+'Teplárna + FVE 10 kWp'!$D$23</f>
        <v>160276.15551567581</v>
      </c>
      <c r="G38" s="27">
        <f>G11-(G11/$G$2)*'Teplárna + FVE 10 kWp'!$I35+'Teplárna + FVE 10 kWp'!$D$23</f>
        <v>169553.75750095394</v>
      </c>
      <c r="H38" s="27">
        <f>H11-(H11/$G$2)*'Teplárna + FVE 10 kWp'!$I35+'Teplárna + FVE 10 kWp'!$D$23</f>
        <v>179283.82734605868</v>
      </c>
      <c r="I38" s="27">
        <f>I11-(I11/$G$2)*'Teplárna + FVE 10 kWp'!$I35+'Teplárna + FVE 10 kWp'!$D$23</f>
        <v>189483.84892960114</v>
      </c>
      <c r="J38" s="27">
        <f>J11-(J11/$G$2)*'Teplárna + FVE 10 kWp'!$I35+'Teplárna + FVE 10 kWp'!$D$23</f>
        <v>200171.80800686419</v>
      </c>
      <c r="K38" s="27">
        <f>K11-(K11/$G$2)*'Teplárna + FVE 10 kWp'!$I35+'Teplárna + FVE 10 kWp'!$D$23</f>
        <v>211366.20172355845</v>
      </c>
      <c r="L38" s="27">
        <f>L11-(L11/$G$2)*'Teplárna + FVE 10 kWp'!$I35+'Teplárna + FVE 10 kWp'!$D$23</f>
        <v>223086.04821890855</v>
      </c>
    </row>
    <row r="39" spans="1:12" x14ac:dyDescent="0.2">
      <c r="A39" s="236">
        <v>7</v>
      </c>
      <c r="B39" s="27">
        <f>B12-(B12/$G$2)*'Teplárna + FVE 10 kWp'!$I36+'Teplárna + FVE 10 kWp'!$D$23</f>
        <v>127500.04950911998</v>
      </c>
      <c r="C39" s="27">
        <f>C12-(C12/$G$2)*'Teplárna + FVE 10 kWp'!$I36+'Teplárna + FVE 10 kWp'!$D$23</f>
        <v>136460.20878528102</v>
      </c>
      <c r="D39" s="27">
        <f>D12-(D12/$G$2)*'Teplárna + FVE 10 kWp'!$I36+'Teplárna + FVE 10 kWp'!$D$23</f>
        <v>145968.76457470338</v>
      </c>
      <c r="E39" s="27">
        <f>E12-(E12/$G$2)*'Teplárna + FVE 10 kWp'!$I36+'Teplárna + FVE 10 kWp'!$D$23</f>
        <v>156053.40632337873</v>
      </c>
      <c r="F39" s="27">
        <f>F12-(F12/$G$2)*'Teplárna + FVE 10 kWp'!$I36+'Teplárna + FVE 10 kWp'!$D$23</f>
        <v>166742.93083802372</v>
      </c>
      <c r="G39" s="27">
        <f>G12-(G12/$G$2)*'Teplárna + FVE 10 kWp'!$I36+'Teplárna + FVE 10 kWp'!$D$23</f>
        <v>178067.27517374675</v>
      </c>
      <c r="H39" s="27">
        <f>H12-(H12/$G$2)*'Teplárna + FVE 10 kWp'!$I36+'Teplárna + FVE 10 kWp'!$D$23</f>
        <v>190057.55016653065</v>
      </c>
      <c r="I39" s="27">
        <f>I12-(I12/$G$2)*'Teplárna + FVE 10 kWp'!$I36+'Teplárna + FVE 10 kWp'!$D$23</f>
        <v>202746.07461679075</v>
      </c>
      <c r="J39" s="27">
        <f>J12-(J12/$G$2)*'Teplárna + FVE 10 kWp'!$I36+'Teplárna + FVE 10 kWp'!$D$23</f>
        <v>216166.41013026881</v>
      </c>
      <c r="K39" s="27">
        <f>K12-(K12/$G$2)*'Teplárna + FVE 10 kWp'!$I36+'Teplárna + FVE 10 kWp'!$D$23</f>
        <v>230353.39662252387</v>
      </c>
      <c r="L39" s="27">
        <f>L12-(L12/$G$2)*'Teplárna + FVE 10 kWp'!$I36+'Teplárna + FVE 10 kWp'!$D$23</f>
        <v>245343.18849327884</v>
      </c>
    </row>
    <row r="40" spans="1:12" x14ac:dyDescent="0.2">
      <c r="A40" s="236">
        <v>8</v>
      </c>
      <c r="B40" s="27">
        <f>B13-(B13/$G$2)*'Teplárna + FVE 10 kWp'!$I37+'Teplárna + FVE 10 kWp'!$D$23</f>
        <v>127642.31000063999</v>
      </c>
      <c r="C40" s="27">
        <f>C13-(C13/$G$2)*'Teplárna + FVE 10 kWp'!$I37+'Teplárna + FVE 10 kWp'!$D$23</f>
        <v>137945.98960032221</v>
      </c>
      <c r="D40" s="27">
        <f>D13-(D13/$G$2)*'Teplárna + FVE 10 kWp'!$I37+'Teplárna + FVE 10 kWp'!$D$23</f>
        <v>148989.08270563284</v>
      </c>
      <c r="E40" s="27">
        <f>E13-(E13/$G$2)*'Teplárna + FVE 10 kWp'!$I37+'Teplárna + FVE 10 kWp'!$D$23</f>
        <v>160816.61284750112</v>
      </c>
      <c r="F40" s="27">
        <f>F13-(F13/$G$2)*'Teplárna + FVE 10 kWp'!$I37+'Teplárna + FVE 10 kWp'!$D$23</f>
        <v>173475.86537733438</v>
      </c>
      <c r="G40" s="27">
        <f>G13-(G13/$G$2)*'Teplárna + FVE 10 kWp'!$I37+'Teplárna + FVE 10 kWp'!$D$23</f>
        <v>187016.47747006643</v>
      </c>
      <c r="H40" s="27">
        <f>H13-(H13/$G$2)*'Teplárna + FVE 10 kWp'!$I37+'Teplárna + FVE 10 kWp'!$D$23</f>
        <v>201490.53078701347</v>
      </c>
      <c r="I40" s="27">
        <f>I13-(I13/$G$2)*'Teplárna + FVE 10 kWp'!$I37+'Teplárna + FVE 10 kWp'!$D$23</f>
        <v>216952.64685043189</v>
      </c>
      <c r="J40" s="27">
        <f>J13-(J13/$G$2)*'Teplárna + FVE 10 kWp'!$I37+'Teplárna + FVE 10 kWp'!$D$23</f>
        <v>233460.08518217425</v>
      </c>
      <c r="K40" s="27">
        <f>K13-(K13/$G$2)*'Teplárna + FVE 10 kWp'!$I37+'Teplárna + FVE 10 kWp'!$D$23</f>
        <v>251072.84425934227</v>
      </c>
      <c r="L40" s="27">
        <f>L13-(L13/$G$2)*'Teplárna + FVE 10 kWp'!$I37+'Teplárna + FVE 10 kWp'!$D$23</f>
        <v>269853.7653403341</v>
      </c>
    </row>
    <row r="41" spans="1:12" x14ac:dyDescent="0.2">
      <c r="A41" s="236">
        <v>9</v>
      </c>
      <c r="B41" s="27">
        <f>B14-(B14/$G$2)*'Teplárna + FVE 10 kWp'!$I38+'Teplárna + FVE 10 kWp'!$D$23</f>
        <v>127784.57049215998</v>
      </c>
      <c r="C41" s="27">
        <f>C14-(C14/$G$2)*'Teplárna + FVE 10 kWp'!$I38+'Teplárna + FVE 10 kWp'!$D$23</f>
        <v>139448.1687007857</v>
      </c>
      <c r="D41" s="27">
        <f>D14-(D14/$G$2)*'Teplárna + FVE 10 kWp'!$I38+'Teplárna + FVE 10 kWp'!$D$23</f>
        <v>152073.14081596961</v>
      </c>
      <c r="E41" s="27">
        <f>E14-(E14/$G$2)*'Teplárna + FVE 10 kWp'!$I38+'Teplárna + FVE 10 kWp'!$D$23</f>
        <v>165728.12190737986</v>
      </c>
      <c r="F41" s="27">
        <f>F14-(F14/$G$2)*'Teplárna + FVE 10 kWp'!$I38+'Teplárna + FVE 10 kWp'!$D$23</f>
        <v>180485.90503044907</v>
      </c>
      <c r="G41" s="27">
        <f>G14-(G14/$G$2)*'Teplárna + FVE 10 kWp'!$I38+'Teplárna + FVE 10 kWp'!$D$23</f>
        <v>196423.64905808371</v>
      </c>
      <c r="H41" s="27">
        <f>H14-(H14/$G$2)*'Teplárna + FVE 10 kWp'!$I38+'Teplárna + FVE 10 kWp'!$D$23</f>
        <v>213623.0947413547</v>
      </c>
      <c r="I41" s="27">
        <f>I14-(I14/$G$2)*'Teplárna + FVE 10 kWp'!$I38+'Teplárna + FVE 10 kWp'!$D$23</f>
        <v>232170.7892411605</v>
      </c>
      <c r="J41" s="27">
        <f>J14-(J14/$G$2)*'Teplárna + FVE 10 kWp'!$I38+'Teplárna + FVE 10 kWp'!$D$23</f>
        <v>252158.31937755083</v>
      </c>
      <c r="K41" s="27">
        <f>K14-(K14/$G$2)*'Teplárna + FVE 10 kWp'!$I38+'Teplárna + FVE 10 kWp'!$D$23</f>
        <v>273682.55384814559</v>
      </c>
      <c r="L41" s="27">
        <f>L14-(L14/$G$2)*'Teplárna + FVE 10 kWp'!$I38+'Teplárna + FVE 10 kWp'!$D$23</f>
        <v>296845.89467186766</v>
      </c>
    </row>
    <row r="42" spans="1:12" x14ac:dyDescent="0.2">
      <c r="A42" s="236">
        <v>10</v>
      </c>
      <c r="B42" s="190">
        <f>B15-(B15/$G$2)*'Teplárna + FVE 10 kWp'!$I39+'Teplárna + FVE 10 kWp'!$D$23+'Teplárna + FVE 10 kWp'!$D$19+'Teplárna + FVE 10 kWp'!$D$20</f>
        <v>190724.83098367997</v>
      </c>
      <c r="C42" s="190">
        <f>C15-(C15/$G$2)*'Teplárna + FVE 10 kWp'!$I39+'Teplárna + FVE 10 kWp'!$D$23+'Teplárna + FVE 10 kWp'!$D$19+'Teplárna + FVE 10 kWp'!$D$20</f>
        <v>203764.92547429839</v>
      </c>
      <c r="D42" s="190">
        <f>D15-(D15/$G$2)*'Teplárna + FVE 10 kWp'!$I39+'Teplárna + FVE 10 kWp'!$D$23+'Teplárna + FVE 10 kWp'!$D$19+'Teplárna + FVE 10 kWp'!$D$20</f>
        <v>218020.28037763762</v>
      </c>
      <c r="E42" s="190">
        <f>E15-(E15/$G$2)*'Teplárna + FVE 10 kWp'!$I39+'Teplárna + FVE 10 kWp'!$D$23+'Teplárna + FVE 10 kWp'!$D$19+'Teplárna + FVE 10 kWp'!$D$20</f>
        <v>233590.54476928851</v>
      </c>
      <c r="F42" s="190">
        <f>F15-(F15/$G$2)*'Teplárna + FVE 10 kWp'!$I39+'Teplárna + FVE 10 kWp'!$D$23+'Teplárna + FVE 10 kWp'!$D$19+'Teplárna + FVE 10 kWp'!$D$20</f>
        <v>250582.4455112092</v>
      </c>
      <c r="G42" s="190">
        <f>G15-(G15/$G$2)*'Teplárna + FVE 10 kWp'!$I39+'Teplárna + FVE 10 kWp'!$D$23+'Teplárna + FVE 10 kWp'!$D$19+'Teplárna + FVE 10 kWp'!$D$20</f>
        <v>269110.2138612275</v>
      </c>
      <c r="H42" s="190">
        <f>H15-(H15/$G$2)*'Teplárna + FVE 10 kWp'!$I39+'Teplárna + FVE 10 kWp'!$D$23+'Teplárna + FVE 10 kWp'!$D$19+'Teplárna + FVE 10 kWp'!$D$20</f>
        <v>289296.03329938359</v>
      </c>
      <c r="I42" s="190">
        <f>I15-(I15/$G$2)*'Teplárna + FVE 10 kWp'!$I39+'Teplárna + FVE 10 kWp'!$D$23+'Teplárna + FVE 10 kWp'!$D$19+'Teplárna + FVE 10 kWp'!$D$20</f>
        <v>311270.50940702402</v>
      </c>
      <c r="J42" s="190">
        <f>J15-(J15/$G$2)*'Teplárna + FVE 10 kWp'!$I39+'Teplárna + FVE 10 kWp'!$D$23+'Teplárna + FVE 10 kWp'!$D$19+'Teplárna + FVE 10 kWp'!$D$20</f>
        <v>335173.16265902179</v>
      </c>
      <c r="K42" s="190">
        <f>K15-(K15/$G$2)*'Teplárna + FVE 10 kWp'!$I39+'Teplárna + FVE 10 kWp'!$D$23+'Teplárna + FVE 10 kWp'!$D$19+'Teplárna + FVE 10 kWp'!$D$20</f>
        <v>361152.94501443277</v>
      </c>
      <c r="L42" s="190">
        <f>L15-(L15/$G$2)*'Teplárna + FVE 10 kWp'!$I39+'Teplárna + FVE 10 kWp'!$D$23+'Teplárna + FVE 10 kWp'!$D$19+'Teplárna + FVE 10 kWp'!$D$20</f>
        <v>389368.78121630457</v>
      </c>
    </row>
    <row r="43" spans="1:12" x14ac:dyDescent="0.2">
      <c r="A43" s="236">
        <v>11</v>
      </c>
      <c r="B43" s="27">
        <f>B16-(B16/$G$2)*'Teplárna + FVE 10 kWp'!$I40+'Teplárna + FVE 10 kWp'!$D$23</f>
        <v>128069.09147519998</v>
      </c>
      <c r="C43" s="27">
        <f>C16-(C16/$G$2)*'Teplárna + FVE 10 kWp'!$I40+'Teplárna + FVE 10 kWp'!$D$23</f>
        <v>142502.44125641132</v>
      </c>
      <c r="D43" s="27">
        <f>D16-(D16/$G$2)*'Teplárna + FVE 10 kWp'!$I40+'Teplárna + FVE 10 kWp'!$D$23</f>
        <v>158437.87102544596</v>
      </c>
      <c r="E43" s="27">
        <f>E16-(E16/$G$2)*'Teplárna + FVE 10 kWp'!$I40+'Teplárna + FVE 10 kWp'!$D$23</f>
        <v>176014.63590319507</v>
      </c>
      <c r="F43" s="27">
        <f>F16-(F16/$G$2)*'Teplárna + FVE 10 kWp'!$I40+'Teplárna + FVE 10 kWp'!$D$23</f>
        <v>195383.35082238138</v>
      </c>
      <c r="G43" s="27">
        <f>G16-(G16/$G$2)*'Teplárna + FVE 10 kWp'!$I40+'Teplárna + FVE 10 kWp'!$D$23</f>
        <v>216706.79327204055</v>
      </c>
      <c r="H43" s="27">
        <f>H16-(H16/$G$2)*'Teplárna + FVE 10 kWp'!$I40+'Teplárna + FVE 10 kWp'!$D$23</f>
        <v>240160.75418330714</v>
      </c>
      <c r="I43" s="27">
        <f>I16-(I16/$G$2)*'Teplárna + FVE 10 kWp'!$I40+'Teplárna + FVE 10 kWp'!$D$23</f>
        <v>265934.93933882669</v>
      </c>
      <c r="J43" s="27">
        <f>J16-(J16/$G$2)*'Teplárna + FVE 10 kWp'!$I40+'Teplárna + FVE 10 kWp'!$D$23</f>
        <v>294233.92378151172</v>
      </c>
      <c r="K43" s="27">
        <f>K16-(K16/$G$2)*'Teplárna + FVE 10 kWp'!$I40+'Teplárna + FVE 10 kWp'!$D$23</f>
        <v>325278.16179448162</v>
      </c>
      <c r="L43" s="27">
        <f>L16-(L16/$G$2)*'Teplárna + FVE 10 kWp'!$I40+'Teplárna + FVE 10 kWp'!$D$23</f>
        <v>359305.05512291024</v>
      </c>
    </row>
    <row r="44" spans="1:12" x14ac:dyDescent="0.2">
      <c r="A44" s="236">
        <v>12</v>
      </c>
      <c r="B44" s="27">
        <f>B17-(B17/$G$2)*'Teplárna + FVE 10 kWp'!$I41+'Teplárna + FVE 10 kWp'!$D$23</f>
        <v>128211.35196671999</v>
      </c>
      <c r="C44" s="27">
        <f>C17-(C17/$G$2)*'Teplárna + FVE 10 kWp'!$I41+'Teplárna + FVE 10 kWp'!$D$23</f>
        <v>144054.89935161904</v>
      </c>
      <c r="D44" s="27">
        <f>D17-(D17/$G$2)*'Teplárna + FVE 10 kWp'!$I41+'Teplárna + FVE 10 kWp'!$D$23</f>
        <v>161721.31114701554</v>
      </c>
      <c r="E44" s="27">
        <f>E17-(E17/$G$2)*'Teplárna + FVE 10 kWp'!$I41+'Teplárna + FVE 10 kWp'!$D$23</f>
        <v>181399.29742484365</v>
      </c>
      <c r="F44" s="27">
        <f>F17-(F17/$G$2)*'Teplárna + FVE 10 kWp'!$I41+'Teplárna + FVE 10 kWp'!$D$23</f>
        <v>203294.97248562946</v>
      </c>
      <c r="G44" s="27">
        <f>G17-(G17/$G$2)*'Teplárna + FVE 10 kWp'!$I41+'Teplárna + FVE 10 kWp'!$D$23</f>
        <v>227633.2673392818</v>
      </c>
      <c r="H44" s="27">
        <f>H17-(H17/$G$2)*'Teplárna + FVE 10 kWp'!$I41+'Teplárna + FVE 10 kWp'!$D$23</f>
        <v>254659.44149342371</v>
      </c>
      <c r="I44" s="27">
        <f>I17-(I17/$G$2)*'Teplárna + FVE 10 kWp'!$I41+'Teplárna + FVE 10 kWp'!$D$23</f>
        <v>284640.69997498736</v>
      </c>
      <c r="J44" s="27">
        <f>J17-(J17/$G$2)*'Teplárna + FVE 10 kWp'!$I41+'Teplárna + FVE 10 kWp'!$D$23</f>
        <v>317867.92180258234</v>
      </c>
      <c r="K44" s="27">
        <f>K17-(K17/$G$2)*'Teplárna + FVE 10 kWp'!$I41+'Teplárna + FVE 10 kWp'!$D$23</f>
        <v>354657.50643032242</v>
      </c>
      <c r="L44" s="27">
        <f>L17-(L17/$G$2)*'Teplárna + FVE 10 kWp'!$I41+'Teplárna + FVE 10 kWp'!$D$23</f>
        <v>395353.34499867389</v>
      </c>
    </row>
    <row r="45" spans="1:12" x14ac:dyDescent="0.2">
      <c r="A45" s="236">
        <v>13</v>
      </c>
      <c r="B45" s="27">
        <f>B18-(B18/$G$2)*'Teplárna + FVE 10 kWp'!$I42+'Teplárna + FVE 10 kWp'!$D$23</f>
        <v>128353.61245823998</v>
      </c>
      <c r="C45" s="27">
        <f>C18-(C18/$G$2)*'Teplárna + FVE 10 kWp'!$I42+'Teplárna + FVE 10 kWp'!$D$23</f>
        <v>145624.48505460529</v>
      </c>
      <c r="D45" s="27">
        <f>D18-(D18/$G$2)*'Teplárna + FVE 10 kWp'!$I42+'Teplárna + FVE 10 kWp'!$D$23</f>
        <v>165074.02848503774</v>
      </c>
      <c r="E45" s="27">
        <f>E18-(E18/$G$2)*'Teplárna + FVE 10 kWp'!$I42+'Teplárna + FVE 10 kWp'!$D$23</f>
        <v>186951.58367547826</v>
      </c>
      <c r="F45" s="27">
        <f>F18-(F18/$G$2)*'Teplárna + FVE 10 kWp'!$I42+'Teplárna + FVE 10 kWp'!$D$23</f>
        <v>211532.16956062155</v>
      </c>
      <c r="G45" s="27">
        <f>G18-(G18/$G$2)*'Teplárna + FVE 10 kWp'!$I42+'Teplárna + FVE 10 kWp'!$D$23</f>
        <v>239118.83908006706</v>
      </c>
      <c r="H45" s="27">
        <f>H18-(H18/$G$2)*'Teplárna + FVE 10 kWp'!$I42+'Teplárna + FVE 10 kWp'!$D$23</f>
        <v>270045.22540569439</v>
      </c>
      <c r="I45" s="27">
        <f>I18-(I18/$G$2)*'Teplárna + FVE 10 kWp'!$I42+'Teplárna + FVE 10 kWp'!$D$23</f>
        <v>304678.29170745029</v>
      </c>
      <c r="J45" s="27">
        <f>J18-(J18/$G$2)*'Teplárna + FVE 10 kWp'!$I42+'Teplárna + FVE 10 kWp'!$D$23</f>
        <v>343421.29855482257</v>
      </c>
      <c r="K45" s="27">
        <f>K18-(K18/$G$2)*'Teplárna + FVE 10 kWp'!$I42+'Teplárna + FVE 10 kWp'!$D$23</f>
        <v>386717.00388007931</v>
      </c>
      <c r="L45" s="27">
        <f>L18-(L18/$G$2)*'Teplárna + FVE 10 kWp'!$I42+'Teplárna + FVE 10 kWp'!$D$23</f>
        <v>435051.11129836121</v>
      </c>
    </row>
    <row r="46" spans="1:12" x14ac:dyDescent="0.2">
      <c r="A46" s="236">
        <v>14</v>
      </c>
      <c r="B46" s="27">
        <f>B19-(B19/$G$2)*'Teplárna + FVE 10 kWp'!$I43+'Teplárna + FVE 10 kWp'!$D$23</f>
        <v>128495.87294975999</v>
      </c>
      <c r="C46" s="27">
        <f>C19-(C19/$G$2)*'Teplárna + FVE 10 kWp'!$I43+'Teplárna + FVE 10 kWp'!$D$23</f>
        <v>147211.3856717161</v>
      </c>
      <c r="D46" s="27">
        <f>D19-(D19/$G$2)*'Teplárna + FVE 10 kWp'!$I43+'Teplárna + FVE 10 kWp'!$D$23</f>
        <v>168497.48075212204</v>
      </c>
      <c r="E46" s="27">
        <f>E19-(E19/$G$2)*'Teplárna + FVE 10 kWp'!$I43+'Teplárna + FVE 10 kWp'!$D$23</f>
        <v>192676.70594346861</v>
      </c>
      <c r="F46" s="27">
        <f>F19-(F19/$G$2)*'Teplárna + FVE 10 kWp'!$I43+'Teplárna + FVE 10 kWp'!$D$23</f>
        <v>220108.329485636</v>
      </c>
      <c r="G46" s="27">
        <f>G19-(G19/$G$2)*'Teplárna + FVE 10 kWp'!$I43+'Teplárna + FVE 10 kWp'!$D$23</f>
        <v>251192.10207658264</v>
      </c>
      <c r="H46" s="27">
        <f>H19-(H19/$G$2)*'Teplárna + FVE 10 kWp'!$I43+'Teplárna + FVE 10 kWp'!$D$23</f>
        <v>286372.36223806115</v>
      </c>
      <c r="I46" s="27">
        <f>I19-(I19/$G$2)*'Teplárna + FVE 10 kWp'!$I43+'Teplárna + FVE 10 kWp'!$D$23</f>
        <v>326142.51266258053</v>
      </c>
      <c r="J46" s="27">
        <f>J19-(J19/$G$2)*'Teplárna + FVE 10 kWp'!$I43+'Teplárna + FVE 10 kWp'!$D$23</f>
        <v>371049.8970478847</v>
      </c>
      <c r="K46" s="27">
        <f>K19-(K19/$G$2)*'Teplárna + FVE 10 kWp'!$I43+'Teplárna + FVE 10 kWp'!$D$23</f>
        <v>421701.10895870678</v>
      </c>
      <c r="L46" s="27">
        <f>L19-(L19/$G$2)*'Teplárna + FVE 10 kWp'!$I43+'Teplárna + FVE 10 kWp'!$D$23</f>
        <v>478767.76640799933</v>
      </c>
    </row>
    <row r="47" spans="1:12" x14ac:dyDescent="0.2">
      <c r="A47" s="236">
        <v>15</v>
      </c>
      <c r="B47" s="27">
        <f>B20-(B20/$G$2)*'Teplárna + FVE 10 kWp'!$I44+'Teplárna + FVE 10 kWp'!$D$23</f>
        <v>128638.13344127999</v>
      </c>
      <c r="C47" s="27">
        <f>C20-(C20/$G$2)*'Teplárna + FVE 10 kWp'!$I44+'Teplárna + FVE 10 kWp'!$D$23</f>
        <v>148815.79054266366</v>
      </c>
      <c r="D47" s="27">
        <f>D20-(D20/$G$2)*'Teplárna + FVE 10 kWp'!$I44+'Teplárna + FVE 10 kWp'!$D$23</f>
        <v>171993.15625849567</v>
      </c>
      <c r="E47" s="27">
        <f>E20-(E20/$G$2)*'Teplárna + FVE 10 kWp'!$I44+'Teplárna + FVE 10 kWp'!$D$23</f>
        <v>198580.03733223045</v>
      </c>
      <c r="F47" s="27">
        <f>F20-(F20/$G$2)*'Teplárna + FVE 10 kWp'!$I44+'Teplárna + FVE 10 kWp'!$D$23</f>
        <v>229037.38977335463</v>
      </c>
      <c r="G47" s="27">
        <f>G20-(G20/$G$2)*'Teplárna + FVE 10 kWp'!$I44+'Teplárna + FVE 10 kWp'!$D$23</f>
        <v>263883.11152504967</v>
      </c>
      <c r="H47" s="27">
        <f>H20-(H20/$G$2)*'Teplárna + FVE 10 kWp'!$I44+'Teplárna + FVE 10 kWp'!$D$23</f>
        <v>303698.42551885149</v>
      </c>
      <c r="I47" s="27">
        <f>I20-(I20/$G$2)*'Teplárna + FVE 10 kWp'!$I44+'Teplárna + FVE 10 kWp'!$D$23</f>
        <v>349134.90673206258</v>
      </c>
      <c r="J47" s="27">
        <f>J20-(J20/$G$2)*'Teplárna + FVE 10 kWp'!$I44+'Teplárna + FVE 10 kWp'!$D$23</f>
        <v>400922.21114908595</v>
      </c>
      <c r="K47" s="27">
        <f>K20-(K20/$G$2)*'Teplárna + FVE 10 kWp'!$I44+'Teplárna + FVE 10 kWp'!$D$23</f>
        <v>459876.56911005854</v>
      </c>
      <c r="L47" s="27">
        <f>L20-(L20/$G$2)*'Teplárna + FVE 10 kWp'!$I44+'Teplárna + FVE 10 kWp'!$D$23</f>
        <v>526910.11042658135</v>
      </c>
    </row>
    <row r="48" spans="1:12" x14ac:dyDescent="0.2">
      <c r="A48" s="236">
        <v>16</v>
      </c>
      <c r="B48" s="27">
        <f>B21-(B21/$G$2)*'Teplárna + FVE 10 kWp'!$I45+'Teplárna + FVE 10 kWp'!$D$23</f>
        <v>128780.39393279998</v>
      </c>
      <c r="C48" s="27">
        <f>C21-(C21/$G$2)*'Teplárna + FVE 10 kWp'!$I45+'Teplárna + FVE 10 kWp'!$D$23</f>
        <v>150437.89106246299</v>
      </c>
      <c r="D48" s="27">
        <f>D21-(D21/$G$2)*'Teplárna + FVE 10 kWp'!$I45+'Teplárna + FVE 10 kWp'!$D$23</f>
        <v>175562.57455282341</v>
      </c>
      <c r="E48" s="27">
        <f>E21-(E21/$G$2)*'Teplárna + FVE 10 kWp'!$I45+'Teplárna + FVE 10 kWp'!$D$23</f>
        <v>204667.11777896888</v>
      </c>
      <c r="F48" s="27">
        <f>F21-(F21/$G$2)*'Teplárna + FVE 10 kWp'!$I45+'Teplárna + FVE 10 kWp'!$D$23</f>
        <v>238333.86059691367</v>
      </c>
      <c r="G48" s="27">
        <f>G21-(G21/$G$2)*'Teplárna + FVE 10 kWp'!$I45+'Teplárna + FVE 10 kWp'!$D$23</f>
        <v>277223.4589131719</v>
      </c>
      <c r="H48" s="27">
        <f>H21-(H21/$G$2)*'Teplárna + FVE 10 kWp'!$I45+'Teplárna + FVE 10 kWp'!$D$23</f>
        <v>322084.50872927968</v>
      </c>
      <c r="I48" s="27">
        <f>I21-(I21/$G$2)*'Teplárna + FVE 10 kWp'!$I45+'Teplárna + FVE 10 kWp'!$D$23</f>
        <v>373764.24346922542</v>
      </c>
      <c r="J48" s="27">
        <f>J21-(J21/$G$2)*'Teplárna + FVE 10 kWp'!$I45+'Teplárna + FVE 10 kWp'!$D$23</f>
        <v>433220.41232537292</v>
      </c>
      <c r="K48" s="27">
        <f>K21-(K21/$G$2)*'Teplárna + FVE 10 kWp'!$I45+'Teplárna + FVE 10 kWp'!$D$23</f>
        <v>501534.45699608809</v>
      </c>
      <c r="L48" s="27">
        <f>L21-(L21/$G$2)*'Teplárna + FVE 10 kWp'!$I45+'Teplárna + FVE 10 kWp'!$D$23</f>
        <v>579926.11458479997</v>
      </c>
    </row>
    <row r="49" spans="1:13" x14ac:dyDescent="0.2">
      <c r="A49" s="236">
        <v>17</v>
      </c>
      <c r="B49" s="27">
        <f>B22-(B22/$G$2)*'Teplárna + FVE 10 kWp'!$I46+'Teplárna + FVE 10 kWp'!$D$23</f>
        <v>128922.65442431998</v>
      </c>
      <c r="C49" s="27">
        <f>C22-(C22/$G$2)*'Teplárna + FVE 10 kWp'!$I46+'Teplárna + FVE 10 kWp'!$D$23</f>
        <v>152077.88070360405</v>
      </c>
      <c r="D49" s="27">
        <f>D22-(D22/$G$2)*'Teplárna + FVE 10 kWp'!$I46+'Teplárna + FVE 10 kWp'!$D$23</f>
        <v>179207.28707642085</v>
      </c>
      <c r="E49" s="27">
        <f>E22-(E22/$G$2)*'Teplárna + FVE 10 kWp'!$I46+'Teplárna + FVE 10 kWp'!$D$23</f>
        <v>210943.65922891258</v>
      </c>
      <c r="F49" s="27">
        <f>F22-(F22/$G$2)*'Teplárna + FVE 10 kWp'!$I46+'Teplárna + FVE 10 kWp'!$D$23</f>
        <v>248012.84830272014</v>
      </c>
      <c r="G49" s="27">
        <f>G22-(G22/$G$2)*'Teplárna + FVE 10 kWp'!$I46+'Teplárna + FVE 10 kWp'!$D$23</f>
        <v>291246.35051129374</v>
      </c>
      <c r="H49" s="27">
        <f>H22-(H22/$G$2)*'Teplárna + FVE 10 kWp'!$I46+'Teplárna + FVE 10 kWp'!$D$23</f>
        <v>341595.44043309131</v>
      </c>
      <c r="I49" s="27">
        <f>I22-(I22/$G$2)*'Teplárna + FVE 10 kWp'!$I46+'Teplárna + FVE 10 kWp'!$D$23</f>
        <v>400147.03211660392</v>
      </c>
      <c r="J49" s="27">
        <f>J22-(J22/$G$2)*'Teplárna + FVE 10 kWp'!$I46+'Teplárna + FVE 10 kWp'!$D$23</f>
        <v>468141.45969851164</v>
      </c>
      <c r="K49" s="27">
        <f>K22-(K22/$G$2)*'Teplárna + FVE 10 kWp'!$I46+'Teplárna + FVE 10 kWp'!$D$23</f>
        <v>546992.38838181156</v>
      </c>
      <c r="L49" s="27">
        <f>L22-(L22/$G$2)*'Teplárna + FVE 10 kWp'!$I46+'Teplárna + FVE 10 kWp'!$D$23</f>
        <v>638309.08747039631</v>
      </c>
    </row>
    <row r="50" spans="1:13" x14ac:dyDescent="0.2">
      <c r="A50" s="236">
        <v>18</v>
      </c>
      <c r="B50" s="27">
        <f>B23-(B23/$G$2)*'Teplárna + FVE 10 kWp'!$I47+'Teplárna + FVE 10 kWp'!$D$23</f>
        <v>129064.91491583998</v>
      </c>
      <c r="C50" s="27">
        <f>C23-(C23/$G$2)*'Teplárna + FVE 10 kWp'!$I47+'Teplárna + FVE 10 kWp'!$D$23</f>
        <v>153735.95503846169</v>
      </c>
      <c r="D50" s="27">
        <f>D23-(D23/$G$2)*'Teplárna + FVE 10 kWp'!$I47+'Teplárna + FVE 10 kWp'!$D$23</f>
        <v>182928.87783114109</v>
      </c>
      <c r="E50" s="27">
        <f>E23-(E23/$G$2)*'Teplárna + FVE 10 kWp'!$I47+'Teplárna + FVE 10 kWp'!$D$23</f>
        <v>217415.55096985187</v>
      </c>
      <c r="F50" s="27">
        <f>F23-(F23/$G$2)*'Teplárna + FVE 10 kWp'!$I47+'Teplárna + FVE 10 kWp'!$D$23</f>
        <v>258090.07988803604</v>
      </c>
      <c r="G50" s="27">
        <f>G23-(G23/$G$2)*'Teplárna + FVE 10 kWp'!$I47+'Teplárna + FVE 10 kWp'!$D$23</f>
        <v>305986.68987194478</v>
      </c>
      <c r="H50" s="27">
        <f>H23-(H23/$G$2)*'Teplárna + FVE 10 kWp'!$I47+'Teplárna + FVE 10 kWp'!$D$23</f>
        <v>362300.01254993503</v>
      </c>
      <c r="I50" s="27">
        <f>I23-(I23/$G$2)*'Teplárna + FVE 10 kWp'!$I47+'Teplárna + FVE 10 kWp'!$D$23</f>
        <v>428408.07219161623</v>
      </c>
      <c r="J50" s="27">
        <f>J23-(J23/$G$2)*'Teplárna + FVE 10 kWp'!$I47+'Teplárna + FVE 10 kWp'!$D$23</f>
        <v>505898.3001724701</v>
      </c>
      <c r="K50" s="27">
        <f>K23-(K23/$G$2)*'Teplárna + FVE 10 kWp'!$I47+'Teplárna + FVE 10 kWp'!$D$23</f>
        <v>596596.94220529683</v>
      </c>
      <c r="L50" s="27">
        <f>L23-(L23/$G$2)*'Teplárna + FVE 10 kWp'!$I47+'Teplárna + FVE 10 kWp'!$D$23</f>
        <v>702602.26278726396</v>
      </c>
    </row>
    <row r="51" spans="1:13" x14ac:dyDescent="0.2">
      <c r="A51" s="236">
        <v>19</v>
      </c>
      <c r="B51" s="27">
        <f>B24-(B24/$G$2)*'Teplárna + FVE 10 kWp'!$I48+'Teplárna + FVE 10 kWp'!$D$23</f>
        <v>129207.17540735999</v>
      </c>
      <c r="C51" s="27">
        <f>C24-(C24/$G$2)*'Teplárna + FVE 10 kWp'!$I48+'Teplárna + FVE 10 kWp'!$D$23</f>
        <v>155412.3117619461</v>
      </c>
      <c r="D51" s="27">
        <f>D24-(D24/$G$2)*'Teplárna + FVE 10 kWp'!$I48+'Teplárna + FVE 10 kWp'!$D$23</f>
        <v>186728.96406121954</v>
      </c>
      <c r="E51" s="27">
        <f>E24-(E24/$G$2)*'Teplárna + FVE 10 kWp'!$I48+'Teplárna + FVE 10 kWp'!$D$23</f>
        <v>224088.86513194148</v>
      </c>
      <c r="F51" s="27">
        <f>F24-(F24/$G$2)*'Teplárna + FVE 10 kWp'!$I48+'Teplárna + FVE 10 kWp'!$D$23</f>
        <v>268581.92848289292</v>
      </c>
      <c r="G51" s="27">
        <f>G24-(G24/$G$2)*'Teplárna + FVE 10 kWp'!$I48+'Teplárna + FVE 10 kWp'!$D$23</f>
        <v>321481.1645423827</v>
      </c>
      <c r="H51" s="27">
        <f>H24-(H24/$G$2)*'Teplárna + FVE 10 kWp'!$I48+'Teplárna + FVE 10 kWp'!$D$23</f>
        <v>384271.22257524077</v>
      </c>
      <c r="I51" s="27">
        <f>I24-(I24/$G$2)*'Teplárna + FVE 10 kWp'!$I48+'Teplárna + FVE 10 kWp'!$D$23</f>
        <v>458681.04322975897</v>
      </c>
      <c r="J51" s="27">
        <f>J24-(J24/$G$2)*'Teplárna + FVE 10 kWp'!$I48+'Teplárna + FVE 10 kWp'!$D$23</f>
        <v>546721.16594019148</v>
      </c>
      <c r="K51" s="27">
        <f>K24-(K24/$G$2)*'Teplárna + FVE 10 kWp'!$I48+'Teplárna + FVE 10 kWp'!$D$23</f>
        <v>650726.30126111687</v>
      </c>
      <c r="L51" s="27">
        <f>L24-(L24/$G$2)*'Teplárna + FVE 10 kWp'!$I48+'Teplárna + FVE 10 kWp'!$D$23</f>
        <v>773403.85129280121</v>
      </c>
    </row>
    <row r="52" spans="1:13" x14ac:dyDescent="0.2">
      <c r="A52" s="236">
        <v>20</v>
      </c>
      <c r="B52" s="27">
        <f>B25-(B25/$G$2)*'Teplárna + FVE 10 kWp'!$I49+'Teplárna + FVE 10 kWp'!$D$23</f>
        <v>129349.43589887998</v>
      </c>
      <c r="C52" s="27">
        <f>C25-(C25/$G$2)*'Teplárna + FVE 10 kWp'!$I49+'Teplárna + FVE 10 kWp'!$D$23</f>
        <v>157107.15071439638</v>
      </c>
      <c r="D52" s="27">
        <f>D25-(D25/$G$2)*'Teplárna + FVE 10 kWp'!$I49+'Teplárna + FVE 10 kWp'!$D$23</f>
        <v>190609.19694936866</v>
      </c>
      <c r="E52" s="27">
        <f>E25-(E25/$G$2)*'Teplárna + FVE 10 kWp'!$I49+'Teplárna + FVE 10 kWp'!$D$23</f>
        <v>230969.8623578836</v>
      </c>
      <c r="F52" s="27">
        <f>F25-(F25/$G$2)*'Teplárna + FVE 10 kWp'!$I49+'Teplárna + FVE 10 kWp'!$D$23</f>
        <v>279505.4398775174</v>
      </c>
      <c r="G52" s="27">
        <f>G25-(G25/$G$2)*'Teplárna + FVE 10 kWp'!$I49+'Teplárna + FVE 10 kWp'!$D$23</f>
        <v>337768.33720518462</v>
      </c>
      <c r="H52" s="27">
        <f>H25-(H25/$G$2)*'Teplárna + FVE 10 kWp'!$I49+'Teplárna + FVE 10 kWp'!$D$23</f>
        <v>407586.53059840348</v>
      </c>
      <c r="I52" s="27">
        <f>I25-(I25/$G$2)*'Teplárna + FVE 10 kWp'!$I49+'Teplárna + FVE 10 kWp'!$D$23</f>
        <v>491109.1364695027</v>
      </c>
      <c r="J52" s="27">
        <f>J25-(J25/$G$2)*'Teplárna + FVE 10 kWp'!$I49+'Teplárna + FVE 10 kWp'!$D$23</f>
        <v>590858.9772696445</v>
      </c>
      <c r="K52" s="27">
        <f>K25-(K25/$G$2)*'Teplárna + FVE 10 kWp'!$I49+'Teplárna + FVE 10 kWp'!$D$23</f>
        <v>709793.13360512152</v>
      </c>
      <c r="L52" s="27">
        <f>L25-(L25/$G$2)*'Teplárna + FVE 10 kWp'!$I49+'Teplárna + FVE 10 kWp'!$D$23</f>
        <v>851372.60387157311</v>
      </c>
    </row>
    <row r="53" spans="1:13" x14ac:dyDescent="0.2">
      <c r="A53" s="236" t="s">
        <v>1</v>
      </c>
      <c r="B53" s="27">
        <f t="shared" ref="B53:L53" si="13">NPV($B$27,B33:B52)+B32</f>
        <v>2375508.9692144245</v>
      </c>
      <c r="C53" s="27">
        <f t="shared" si="13"/>
        <v>2563782.5441620327</v>
      </c>
      <c r="D53" s="27">
        <f t="shared" si="13"/>
        <v>2776286.8005981511</v>
      </c>
      <c r="E53" s="27">
        <f t="shared" si="13"/>
        <v>3016412.6063753148</v>
      </c>
      <c r="F53" s="27">
        <f t="shared" si="13"/>
        <v>3288031.0966954315</v>
      </c>
      <c r="G53" s="27">
        <f t="shared" si="13"/>
        <v>3595560.2375710565</v>
      </c>
      <c r="H53" s="27">
        <f t="shared" si="13"/>
        <v>3944040.2402510266</v>
      </c>
      <c r="I53" s="27">
        <f t="shared" si="13"/>
        <v>4339218.9403744703</v>
      </c>
      <c r="J53" s="27">
        <f t="shared" si="13"/>
        <v>4787648.3868028829</v>
      </c>
      <c r="K53" s="27">
        <f t="shared" si="13"/>
        <v>5296794.0305873537</v>
      </c>
      <c r="L53" s="27">
        <f t="shared" si="13"/>
        <v>5875158.0657925736</v>
      </c>
    </row>
    <row r="59" spans="1:13" ht="16" customHeight="1" x14ac:dyDescent="0.2">
      <c r="B59" s="242" t="s">
        <v>152</v>
      </c>
      <c r="C59" s="242"/>
      <c r="D59" s="242"/>
      <c r="E59" s="242"/>
      <c r="J59" s="242" t="s">
        <v>165</v>
      </c>
      <c r="K59" s="242"/>
      <c r="L59" s="242"/>
    </row>
    <row r="60" spans="1:13" x14ac:dyDescent="0.2">
      <c r="B60" s="242" t="s">
        <v>1</v>
      </c>
      <c r="C60" s="242"/>
      <c r="D60" s="242"/>
      <c r="I60" s="242" t="s">
        <v>170</v>
      </c>
      <c r="J60" s="242"/>
      <c r="K60" s="242"/>
      <c r="L60" s="242"/>
      <c r="M60" s="242"/>
    </row>
    <row r="61" spans="1:13" x14ac:dyDescent="0.2">
      <c r="A61" s="236" t="s">
        <v>74</v>
      </c>
      <c r="B61" s="236" t="s">
        <v>109</v>
      </c>
      <c r="C61" s="236" t="s">
        <v>149</v>
      </c>
      <c r="D61" s="236" t="s">
        <v>150</v>
      </c>
      <c r="I61" s="236" t="s">
        <v>173</v>
      </c>
      <c r="J61" s="236" t="s">
        <v>149</v>
      </c>
      <c r="K61" s="236" t="s">
        <v>171</v>
      </c>
      <c r="L61" s="236" t="s">
        <v>150</v>
      </c>
      <c r="M61" s="236" t="s">
        <v>172</v>
      </c>
    </row>
    <row r="62" spans="1:13" x14ac:dyDescent="0.2">
      <c r="A62" s="238">
        <v>0</v>
      </c>
      <c r="B62" s="27">
        <f>NPV(A62,NPV!$F$10:$F$29)/1000</f>
        <v>4371.0596524464518</v>
      </c>
      <c r="C62" s="27">
        <f>(NPV(A62,NPV!$G$10:$G$29)+NPV!$G$9)/1000</f>
        <v>4365.9721357072285</v>
      </c>
      <c r="D62" s="27">
        <f>(NPV(A62,NPV!$H$10:$H$29)+NPV!$H$9)/1000</f>
        <v>4422.9882125722615</v>
      </c>
      <c r="I62" s="239">
        <v>0</v>
      </c>
      <c r="J62" s="27">
        <f>NPV!G9</f>
        <v>706947</v>
      </c>
      <c r="K62" s="27">
        <f>(NPV(NPV!$I$8,NPV!$G$10:$G$29)+Citlivostní_analýza_data!J62)/1000</f>
        <v>3326.9811627991221</v>
      </c>
      <c r="L62" s="27">
        <f>NPV!H9</f>
        <v>426563</v>
      </c>
      <c r="M62" s="27">
        <f>(NPV(NPV!$I$8,NPV!$H$10:$H$29)+Citlivostní_analýza_data!L62)/1000</f>
        <v>3288.031096695433</v>
      </c>
    </row>
    <row r="63" spans="1:13" x14ac:dyDescent="0.2">
      <c r="A63" s="238">
        <v>0.01</v>
      </c>
      <c r="B63" s="27">
        <f>NPV(A63,NPV!$F$10:$F$29)/1000</f>
        <v>3893.4144796334431</v>
      </c>
      <c r="C63" s="27">
        <f>(NPV(A63,NPV!$G$10:$G$29)+NPV!$G$9)/1000</f>
        <v>3966.7531903626455</v>
      </c>
      <c r="D63" s="27">
        <f>(NPV(A63,NPV!$H$10:$H$29)+NPV!$H$9)/1000</f>
        <v>3986.6866794377747</v>
      </c>
      <c r="I63" s="239">
        <v>0.05</v>
      </c>
      <c r="J63" s="27">
        <f>$J$62-$J$62*I63</f>
        <v>671599.65</v>
      </c>
      <c r="K63" s="27">
        <f>(NPV(NPV!$I$8,NPV!$G$10:$G$29)+Citlivostní_analýza_data!J63)/1000</f>
        <v>3291.6338127991221</v>
      </c>
      <c r="L63" s="27">
        <f t="shared" ref="L63:L70" si="14">$L$62-$L$62*I63</f>
        <v>405234.85</v>
      </c>
      <c r="M63" s="27">
        <f>(NPV(NPV!$I$8,NPV!$H$10:$H$29)+Citlivostní_analýza_data!L63)/1000</f>
        <v>3266.7029466954332</v>
      </c>
    </row>
    <row r="64" spans="1:13" x14ac:dyDescent="0.2">
      <c r="A64" s="238">
        <v>0.02</v>
      </c>
      <c r="B64" s="27">
        <f>NPV(A64,NPV!$F$10:$F$29)/1000</f>
        <v>3483.0042006627905</v>
      </c>
      <c r="C64" s="27">
        <f>(NPV(A64,NPV!$G$10:$G$29)+NPV!$G$9)/1000</f>
        <v>3623.3761109021571</v>
      </c>
      <c r="D64" s="27">
        <f>(NPV(A64,NPV!$H$10:$H$29)+NPV!$H$9)/1000</f>
        <v>3611.615376106346</v>
      </c>
      <c r="I64" s="239">
        <v>0.1</v>
      </c>
      <c r="J64" s="27">
        <f>$J$62-$J$62*I64</f>
        <v>636252.30000000005</v>
      </c>
      <c r="K64" s="27">
        <f>(NPV(NPV!$I$8,NPV!$G$10:$G$29)+Citlivostní_analýza_data!J64)/1000</f>
        <v>3256.2864627991225</v>
      </c>
      <c r="L64" s="27">
        <f t="shared" si="14"/>
        <v>383906.7</v>
      </c>
      <c r="M64" s="27">
        <f>(NPV(NPV!$I$8,NPV!$H$10:$H$29)+Citlivostní_analýza_data!L64)/1000</f>
        <v>3245.3747966954329</v>
      </c>
    </row>
    <row r="65" spans="1:13" x14ac:dyDescent="0.2">
      <c r="A65" s="238">
        <v>0.03</v>
      </c>
      <c r="B65" s="27">
        <f>NPV(A65,NPV!$F$10:$F$29)/1000</f>
        <v>3129.1020717504312</v>
      </c>
      <c r="C65" s="27">
        <f>(NPV(A65,NPV!$G$10:$G$29)+NPV!$G$9)/1000</f>
        <v>3326.9811627991221</v>
      </c>
      <c r="D65" s="27">
        <f>(NPV(A65,NPV!$H$10:$H$29)+NPV!$H$9)/1000</f>
        <v>3288.031096695433</v>
      </c>
      <c r="I65" s="239">
        <v>0.15</v>
      </c>
      <c r="J65" s="27">
        <f t="shared" ref="J65:J70" si="15">$J$62-$J$62*I65</f>
        <v>600904.94999999995</v>
      </c>
      <c r="K65" s="27">
        <f>(NPV(NPV!$I$8,NPV!$G$10:$G$29)+Citlivostní_analýza_data!J65)/1000</f>
        <v>3220.9391127991221</v>
      </c>
      <c r="L65" s="27">
        <f t="shared" si="14"/>
        <v>362578.55</v>
      </c>
      <c r="M65" s="27">
        <f>(NPV(NPV!$I$8,NPV!$H$10:$H$29)+Citlivostní_analýza_data!L65)/1000</f>
        <v>3224.0466466954326</v>
      </c>
    </row>
    <row r="66" spans="1:13" x14ac:dyDescent="0.2">
      <c r="A66" s="238">
        <v>0.04</v>
      </c>
      <c r="B66" s="27">
        <f>NPV(A66,NPV!$F$10:$F$29)/1000</f>
        <v>2822.8429600000009</v>
      </c>
      <c r="C66" s="27">
        <f>(NPV(A66,NPV!$G$10:$G$29)+NPV!$G$9)/1000</f>
        <v>3070.2399943049954</v>
      </c>
      <c r="D66" s="27">
        <f>(NPV(A66,NPV!$H$10:$H$29)+NPV!$H$9)/1000</f>
        <v>3007.878346925997</v>
      </c>
      <c r="I66" s="239">
        <v>0.2</v>
      </c>
      <c r="J66" s="27">
        <f t="shared" si="15"/>
        <v>565557.6</v>
      </c>
      <c r="K66" s="27">
        <f>(NPV(NPV!$I$8,NPV!$G$10:$G$29)+Citlivostní_analýza_data!J66)/1000</f>
        <v>3185.5917627991225</v>
      </c>
      <c r="L66" s="27">
        <f t="shared" si="14"/>
        <v>341250.4</v>
      </c>
      <c r="M66" s="27">
        <f>(NPV(NPV!$I$8,NPV!$H$10:$H$29)+Citlivostní_analýza_data!L66)/1000</f>
        <v>3202.7184966954328</v>
      </c>
    </row>
    <row r="67" spans="1:13" x14ac:dyDescent="0.2">
      <c r="A67" s="238">
        <v>0.05</v>
      </c>
      <c r="B67" s="27">
        <f>NPV(A67,NPV!$F$10:$F$29)/1000</f>
        <v>2556.8786621140066</v>
      </c>
      <c r="C67" s="27">
        <f>(NPV(A67,NPV!$G$10:$G$29)+NPV!$G$9)/1000</f>
        <v>2847.0728808607373</v>
      </c>
      <c r="D67" s="27">
        <f>(NPV(A67,NPV!$H$10:$H$29)+NPV!$H$9)/1000</f>
        <v>2764.4772652657471</v>
      </c>
      <c r="I67" s="239">
        <v>0.25</v>
      </c>
      <c r="J67" s="27">
        <f t="shared" si="15"/>
        <v>530210.25</v>
      </c>
      <c r="K67" s="27">
        <f>(NPV(NPV!$I$8,NPV!$G$10:$G$29)+Citlivostní_analýza_data!J67)/1000</f>
        <v>3150.2444127991221</v>
      </c>
      <c r="L67" s="27">
        <f t="shared" si="14"/>
        <v>319922.25</v>
      </c>
      <c r="M67" s="27">
        <f>(NPV(NPV!$I$8,NPV!$H$10:$H$29)+Citlivostní_analýza_data!L67)/1000</f>
        <v>3181.390346695433</v>
      </c>
    </row>
    <row r="68" spans="1:13" x14ac:dyDescent="0.2">
      <c r="A68" s="238">
        <v>0.06</v>
      </c>
      <c r="B68" s="27">
        <f>NPV(A68,NPV!$F$10:$F$29)/1000</f>
        <v>2325.1005504510244</v>
      </c>
      <c r="C68" s="27">
        <f>(NPV(A68,NPV!$G$10:$G$29)+NPV!$G$9)/1000</f>
        <v>2652.4210992913377</v>
      </c>
      <c r="D68" s="27">
        <f>(NPV(A68,NPV!$H$10:$H$29)+NPV!$H$9)/1000</f>
        <v>2552.2724505976698</v>
      </c>
      <c r="I68" s="239">
        <v>0.3</v>
      </c>
      <c r="J68" s="27">
        <f t="shared" si="15"/>
        <v>494862.9</v>
      </c>
      <c r="K68" s="27">
        <f>(NPV(NPV!$I$8,NPV!$G$10:$G$29)+Citlivostní_analýza_data!J68)/1000</f>
        <v>3114.8970627991221</v>
      </c>
      <c r="L68" s="27">
        <f t="shared" si="14"/>
        <v>298594.09999999998</v>
      </c>
      <c r="M68" s="27">
        <f>(NPV(NPV!$I$8,NPV!$H$10:$H$29)+Citlivostní_analýza_data!L68)/1000</f>
        <v>3160.0621966954332</v>
      </c>
    </row>
    <row r="69" spans="1:13" x14ac:dyDescent="0.2">
      <c r="A69" s="238">
        <v>7.0000000000000007E-2</v>
      </c>
      <c r="B69" s="27">
        <f>NPV(A69,NPV!$F$10:$F$29)/1000</f>
        <v>2122.4157729393314</v>
      </c>
      <c r="C69" s="27">
        <f>(NPV(A69,NPV!$G$10:$G$29)+NPV!$G$9)/1000</f>
        <v>2482.0631672000832</v>
      </c>
      <c r="D69" s="27">
        <f>(NPV(A69,NPV!$H$10:$H$29)+NPV!$H$9)/1000</f>
        <v>2366.6302435187959</v>
      </c>
      <c r="I69" s="239">
        <v>0.35</v>
      </c>
      <c r="J69" s="27">
        <f t="shared" si="15"/>
        <v>459515.55000000005</v>
      </c>
      <c r="K69" s="27">
        <f>(NPV(NPV!$I$8,NPV!$G$10:$G$29)+Citlivostní_analýza_data!J69)/1000</f>
        <v>3079.5497127991225</v>
      </c>
      <c r="L69" s="27">
        <f t="shared" si="14"/>
        <v>277265.95</v>
      </c>
      <c r="M69" s="27">
        <f>(NPV(NPV!$I$8,NPV!$H$10:$H$29)+Citlivostní_analýza_data!L69)/1000</f>
        <v>3138.7340466954329</v>
      </c>
    </row>
    <row r="70" spans="1:13" x14ac:dyDescent="0.2">
      <c r="A70" s="238">
        <v>0.08</v>
      </c>
      <c r="B70" s="27">
        <f>NPV(A70,NPV!$F$10:$F$29)/1000</f>
        <v>1944.5661692049048</v>
      </c>
      <c r="C70" s="27">
        <f>(NPV(A70,NPV!$G$10:$G$29)+NPV!$G$9)/1000</f>
        <v>2332.4660821691455</v>
      </c>
      <c r="D70" s="27">
        <f>(NPV(A70,NPV!$H$10:$H$29)+NPV!$H$9)/1000</f>
        <v>2203.6746617539534</v>
      </c>
      <c r="I70" s="239">
        <v>0.4</v>
      </c>
      <c r="J70" s="27">
        <f t="shared" si="15"/>
        <v>424168.2</v>
      </c>
      <c r="K70" s="27">
        <f>(NPV(NPV!$I$8,NPV!$G$10:$G$29)+Citlivostní_analýza_data!J70)/1000</f>
        <v>3044.2023627991225</v>
      </c>
      <c r="L70" s="27">
        <f t="shared" si="14"/>
        <v>255937.8</v>
      </c>
      <c r="M70" s="27">
        <f>(NPV(NPV!$I$8,NPV!$H$10:$H$29)+Citlivostní_analýza_data!L70)/1000</f>
        <v>3117.4058966954326</v>
      </c>
    </row>
    <row r="71" spans="1:13" x14ac:dyDescent="0.2">
      <c r="A71" s="238">
        <v>0.09</v>
      </c>
      <c r="B71" s="27">
        <f>NPV(A71,NPV!$F$10:$F$29)/1000</f>
        <v>1787.9813516269442</v>
      </c>
      <c r="C71" s="27">
        <f>(NPV(A71,NPV!$G$10:$G$29)+NPV!$G$9)/1000</f>
        <v>2200.6645640614606</v>
      </c>
      <c r="D71" s="27">
        <f>(NPV(A71,NPV!$H$10:$H$29)+NPV!$H$9)/1000</f>
        <v>2060.1542566870316</v>
      </c>
    </row>
    <row r="72" spans="1:13" x14ac:dyDescent="0.2">
      <c r="A72" s="238">
        <v>0.1</v>
      </c>
      <c r="B72" s="27">
        <f>NPV(A72,NPV!$F$10:$F$29)/1000</f>
        <v>1649.6591855723666</v>
      </c>
      <c r="C72" s="27">
        <f>(NPV(A72,NPV!$G$10:$G$29)+NPV!$G$9)/1000</f>
        <v>2084.1627633042194</v>
      </c>
      <c r="D72" s="27">
        <f>(NPV(A72,NPV!$H$10:$H$29)+NPV!$H$9)/1000</f>
        <v>1933.3337719857554</v>
      </c>
    </row>
    <row r="73" spans="1:13" x14ac:dyDescent="0.2">
      <c r="B73" s="27"/>
      <c r="C73" s="27"/>
      <c r="D73" s="27"/>
    </row>
    <row r="74" spans="1:13" x14ac:dyDescent="0.2">
      <c r="A74" s="238">
        <v>-0.01</v>
      </c>
      <c r="B74" s="27">
        <f>NPV(A74,NPV!$F$10:$F$29)/1000</f>
        <v>4928.9576364757904</v>
      </c>
      <c r="C74" s="27">
        <f>(NPV(A74,NPV!$G$10:$G$29)+NPV!$G$9)/1000</f>
        <v>4831.7763032970715</v>
      </c>
      <c r="D74" s="27">
        <f>(NPV(A74,NPV!$H$10:$H$29)+NPV!$H$9)/1000</f>
        <v>4932.3397478950128</v>
      </c>
    </row>
    <row r="75" spans="1:13" x14ac:dyDescent="0.2">
      <c r="A75" s="238">
        <v>-0.02</v>
      </c>
      <c r="B75" s="27">
        <f>NPV(A75,NPV!$F$10:$F$29)/1000</f>
        <v>5582.9544033226211</v>
      </c>
      <c r="C75" s="27">
        <f>(NPV(A75,NPV!$G$10:$G$29)+NPV!$G$9)/1000</f>
        <v>5377.2327364967286</v>
      </c>
      <c r="D75" s="27">
        <f>(NPV(A75,NPV!$H$10:$H$29)+NPV!$H$9)/1000</f>
        <v>5529.1235369190526</v>
      </c>
    </row>
    <row r="76" spans="1:13" x14ac:dyDescent="0.2">
      <c r="A76" s="238">
        <v>-0.03</v>
      </c>
      <c r="B76" s="27">
        <f>NPV(A76,NPV!$F$10:$F$29)/1000</f>
        <v>6352.3969379479822</v>
      </c>
      <c r="C76" s="27">
        <f>(NPV(A76,NPV!$G$10:$G$29)+NPV!$G$9)/1000</f>
        <v>6018.2835657610103</v>
      </c>
      <c r="D76" s="27">
        <f>(NPV(A76,NPV!$H$10:$H$29)+NPV!$H$9)/1000</f>
        <v>6230.8932769124858</v>
      </c>
    </row>
    <row r="77" spans="1:13" x14ac:dyDescent="0.2">
      <c r="A77" s="238">
        <v>-0.04</v>
      </c>
      <c r="B77" s="27">
        <f>NPV(A77,NPV!$F$10:$F$29)/1000</f>
        <v>7260.9792526442679</v>
      </c>
      <c r="C77" s="27">
        <f>(NPV(A77,NPV!$G$10:$G$29)+NPV!$G$9)/1000</f>
        <v>6774.4389633106748</v>
      </c>
      <c r="D77" s="27">
        <f>(NPV(A77,NPV!$H$10:$H$29)+NPV!$H$9)/1000</f>
        <v>7059.1395514743099</v>
      </c>
    </row>
    <row r="78" spans="1:13" x14ac:dyDescent="0.2">
      <c r="A78" s="238">
        <v>-0.05</v>
      </c>
      <c r="B78" s="27">
        <f>NPV(A78,NPV!$F$10:$F$29)/1000</f>
        <v>8337.8091381081085</v>
      </c>
      <c r="C78" s="27">
        <f>(NPV(A78,NPV!$G$10:$G$29)+NPV!$G$9)/1000</f>
        <v>7669.6506161388188</v>
      </c>
      <c r="D78" s="27">
        <f>(NPV(A78,NPV!$H$10:$H$29)+NPV!$H$9)/1000</f>
        <v>8040.2548383026206</v>
      </c>
    </row>
    <row r="79" spans="1:13" x14ac:dyDescent="0.2">
      <c r="A79" s="238">
        <v>-0.06</v>
      </c>
      <c r="B79" s="27">
        <f>NPV(A79,NPV!$F$10:$F$29)/1000</f>
        <v>9618.7573279076059</v>
      </c>
      <c r="C79" s="27">
        <f>(NPV(A79,NPV!$G$10:$G$29)+NPV!$G$9)/1000</f>
        <v>8733.4161097798788</v>
      </c>
      <c r="D79" s="27">
        <f>(NPV(A79,NPV!$H$10:$H$29)+NPV!$H$9)/1000</f>
        <v>9206.7538211514966</v>
      </c>
    </row>
    <row r="80" spans="1:13" x14ac:dyDescent="0.2">
      <c r="A80" s="238">
        <v>-7.0000000000000007E-2</v>
      </c>
      <c r="B80" s="27">
        <f>NPV(A80,NPV!$F$10:$F$29)/1000</f>
        <v>11148.16910236022</v>
      </c>
      <c r="C80" s="27">
        <f>(NPV(A80,NPV!$G$10:$G$29)+NPV!$G$9)/1000</f>
        <v>10002.179600064368</v>
      </c>
      <c r="D80" s="27">
        <f>(NPV(A80,NPV!$H$10:$H$29)+NPV!$H$9)/1000</f>
        <v>10598.821321539172</v>
      </c>
    </row>
    <row r="81" spans="1:4" x14ac:dyDescent="0.2">
      <c r="A81" s="238">
        <v>-0.08</v>
      </c>
      <c r="B81" s="27">
        <f>NPV(A81,NPV!$F$10:$F$29)/1000</f>
        <v>12981.042496265867</v>
      </c>
      <c r="C81" s="27">
        <f>(NPV(A81,NPV!$G$10:$G$29)+NPV!$G$9)/1000</f>
        <v>11521.113860737323</v>
      </c>
      <c r="D81" s="27">
        <f>(NPV(A81,NPV!$H$10:$H$29)+NPV!$H$9)/1000</f>
        <v>12266.281973591493</v>
      </c>
    </row>
    <row r="82" spans="1:4" x14ac:dyDescent="0.2">
      <c r="A82" s="238">
        <v>-0.09</v>
      </c>
      <c r="B82" s="27">
        <f>NPV(A82,NPV!$F$10:$F$29)/1000</f>
        <v>15185.809132091519</v>
      </c>
      <c r="C82" s="27">
        <f>(NPV(A82,NPV!$G$10:$G$29)+NPV!$G$9)/1000</f>
        <v>13346.394806780605</v>
      </c>
      <c r="D82" s="27">
        <f>(NPV(A82,NPV!$H$10:$H$29)+NPV!$H$9)/1000</f>
        <v>14271.114545854041</v>
      </c>
    </row>
    <row r="83" spans="1:4" x14ac:dyDescent="0.2">
      <c r="A83" s="238">
        <v>-0.1</v>
      </c>
      <c r="B83" s="27">
        <f>NPV(A83,NPV!$F$10:$F$29)/1000</f>
        <v>17847.895884423997</v>
      </c>
      <c r="C83" s="27">
        <f>(NPV(A83,NPV!$G$10:$G$29)+NPV!$G$9)/1000</f>
        <v>15548.114035668872</v>
      </c>
      <c r="D83" s="27">
        <f>(NPV(A83,NPV!$H$10:$H$29)+NPV!$H$9)/1000</f>
        <v>16690.671923066075</v>
      </c>
    </row>
  </sheetData>
  <mergeCells count="7">
    <mergeCell ref="I60:M60"/>
    <mergeCell ref="B60:D60"/>
    <mergeCell ref="B2:D2"/>
    <mergeCell ref="Q2:R2"/>
    <mergeCell ref="B59:E59"/>
    <mergeCell ref="E29:F29"/>
    <mergeCell ref="J59:L59"/>
  </mergeCells>
  <pageMargins left="0.7" right="0.7" top="0.75" bottom="0.75" header="0.3" footer="0.3"/>
  <ignoredErrors>
    <ignoredError sqref="H6 H7:H25 J7:J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Teplárna</vt:lpstr>
      <vt:lpstr>Teplárna + FVE 18 kWp</vt:lpstr>
      <vt:lpstr>Teplárna + FVE 10 kWp</vt:lpstr>
      <vt:lpstr>NPV</vt:lpstr>
      <vt:lpstr>Diagram</vt:lpstr>
      <vt:lpstr>Citlivostní_analýza</vt:lpstr>
      <vt:lpstr>Citlivostní_analýza_data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2017-05-13T08:43:55Z</cp:lastPrinted>
  <dcterms:created xsi:type="dcterms:W3CDTF">2017-02-11T12:52:18Z</dcterms:created>
  <dcterms:modified xsi:type="dcterms:W3CDTF">2017-05-21T18:37:40Z</dcterms:modified>
</cp:coreProperties>
</file>