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aniel\Škola\8.semestr\Bakalářka\"/>
    </mc:Choice>
  </mc:AlternateContent>
  <bookViews>
    <workbookView xWindow="0" yWindow="0" windowWidth="23040" windowHeight="9084"/>
  </bookViews>
  <sheets>
    <sheet name="Harmonogram" sheetId="21" r:id="rId1"/>
    <sheet name="Scénář prodeje" sheetId="20" r:id="rId2"/>
    <sheet name="Cashflow" sheetId="12" r:id="rId3"/>
    <sheet name="Pesimistický scénář prodeje" sheetId="22" r:id="rId4"/>
    <sheet name="Propočet" sheetId="15" r:id="rId5"/>
    <sheet name="Bytový dům B" sheetId="1" r:id="rId6"/>
    <sheet name="Analýza okolí a konk. projektů" sheetId="14" r:id="rId7"/>
    <sheet name="Projekt Vivus Uhříněves II." sheetId="2" r:id="rId8"/>
    <sheet name="Projekt Nad Volyňkou" sheetId="3" r:id="rId9"/>
    <sheet name="Projekt U Starého mlýna" sheetId="4" r:id="rId10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4" i="12" l="1"/>
  <c r="AK14" i="12"/>
  <c r="AJ14" i="12"/>
  <c r="AI14" i="12"/>
  <c r="AH14" i="12"/>
  <c r="AG14" i="12"/>
  <c r="AF14" i="12"/>
  <c r="AE14" i="12"/>
  <c r="X14" i="12"/>
  <c r="W14" i="12"/>
  <c r="V14" i="12"/>
  <c r="U14" i="12"/>
  <c r="T14" i="12"/>
  <c r="S14" i="12"/>
  <c r="R14" i="12"/>
  <c r="Q14" i="12"/>
  <c r="J14" i="12"/>
  <c r="I14" i="12"/>
  <c r="H14" i="12"/>
  <c r="G14" i="12"/>
  <c r="F14" i="12"/>
  <c r="E14" i="12"/>
  <c r="D14" i="12"/>
  <c r="C14" i="12"/>
  <c r="AH13" i="12" l="1"/>
  <c r="AH17" i="12" s="1"/>
  <c r="AH19" i="12" s="1"/>
  <c r="AG13" i="12"/>
  <c r="AG17" i="12" s="1"/>
  <c r="AG19" i="12" s="1"/>
  <c r="AF13" i="12"/>
  <c r="AF17" i="12" s="1"/>
  <c r="AF19" i="12" s="1"/>
  <c r="AE13" i="12"/>
  <c r="O52" i="22"/>
  <c r="O51" i="22"/>
  <c r="N52" i="22"/>
  <c r="N51" i="22"/>
  <c r="O42" i="22"/>
  <c r="O41" i="22"/>
  <c r="P32" i="22"/>
  <c r="P31" i="22"/>
  <c r="J14" i="22"/>
  <c r="O43" i="22" s="1"/>
  <c r="I14" i="22"/>
  <c r="N43" i="22" s="1"/>
  <c r="H14" i="22"/>
  <c r="N23" i="22" s="1"/>
  <c r="I13" i="22"/>
  <c r="O32" i="22" s="1"/>
  <c r="H13" i="22"/>
  <c r="E13" i="22"/>
  <c r="I12" i="22"/>
  <c r="N41" i="22" s="1"/>
  <c r="H12" i="22"/>
  <c r="N31" i="22" s="1"/>
  <c r="E12" i="22"/>
  <c r="D11" i="22"/>
  <c r="I11" i="22" s="1"/>
  <c r="N50" i="22" s="1"/>
  <c r="AH11" i="12"/>
  <c r="AG11" i="12"/>
  <c r="AF11" i="12"/>
  <c r="AE11" i="12"/>
  <c r="AD3" i="12"/>
  <c r="AI3" i="12" s="1"/>
  <c r="T13" i="12"/>
  <c r="T17" i="12" s="1"/>
  <c r="T19" i="12" s="1"/>
  <c r="S13" i="12"/>
  <c r="S17" i="12" s="1"/>
  <c r="S19" i="12" s="1"/>
  <c r="R13" i="12"/>
  <c r="R17" i="12" s="1"/>
  <c r="R19" i="12" s="1"/>
  <c r="X12" i="12"/>
  <c r="X15" i="12" s="1"/>
  <c r="W12" i="12"/>
  <c r="W11" i="12" s="1"/>
  <c r="V12" i="12"/>
  <c r="V11" i="12" s="1"/>
  <c r="U12" i="12"/>
  <c r="U11" i="12" s="1"/>
  <c r="X11" i="12"/>
  <c r="T11" i="12"/>
  <c r="S11" i="12"/>
  <c r="R11" i="12"/>
  <c r="Q11" i="12"/>
  <c r="P3" i="12"/>
  <c r="U3" i="12" s="1"/>
  <c r="B3" i="12"/>
  <c r="J12" i="12"/>
  <c r="J15" i="12" s="1"/>
  <c r="I12" i="12"/>
  <c r="I15" i="12" s="1"/>
  <c r="H12" i="12"/>
  <c r="H15" i="12" s="1"/>
  <c r="G12" i="12"/>
  <c r="G15" i="12" s="1"/>
  <c r="BB32" i="21"/>
  <c r="AV31" i="21"/>
  <c r="AW31" i="21"/>
  <c r="AX31" i="21"/>
  <c r="AY31" i="21"/>
  <c r="AZ31" i="21"/>
  <c r="C32" i="21"/>
  <c r="AU30" i="21"/>
  <c r="AT30" i="21"/>
  <c r="AT31" i="21" s="1"/>
  <c r="AS29" i="21"/>
  <c r="AR29" i="21"/>
  <c r="AQ29" i="21"/>
  <c r="AP29" i="21"/>
  <c r="AO29" i="21"/>
  <c r="AN29" i="21"/>
  <c r="AM29" i="21"/>
  <c r="AL29" i="21"/>
  <c r="AK29" i="21"/>
  <c r="AJ29" i="21"/>
  <c r="AI29" i="21"/>
  <c r="AH29" i="21"/>
  <c r="AS28" i="21"/>
  <c r="AR28" i="21"/>
  <c r="AQ28" i="21"/>
  <c r="AP28" i="21"/>
  <c r="AO28" i="21"/>
  <c r="AN28" i="21"/>
  <c r="AM28" i="21"/>
  <c r="AL28" i="21"/>
  <c r="AK28" i="21"/>
  <c r="AJ28" i="21"/>
  <c r="AI28" i="21"/>
  <c r="AH28" i="21"/>
  <c r="AS27" i="21"/>
  <c r="AR27" i="21"/>
  <c r="AQ27" i="21"/>
  <c r="AP27" i="21"/>
  <c r="AO27" i="21"/>
  <c r="AN27" i="21"/>
  <c r="AM27" i="21"/>
  <c r="AL27" i="21"/>
  <c r="AK27" i="21"/>
  <c r="AJ27" i="21"/>
  <c r="AI27" i="21"/>
  <c r="AH27" i="21"/>
  <c r="AG27" i="21"/>
  <c r="AF27" i="21"/>
  <c r="AE27" i="21"/>
  <c r="AD27" i="21"/>
  <c r="AC27" i="21"/>
  <c r="AB27" i="21"/>
  <c r="AA27" i="21"/>
  <c r="Z27" i="21"/>
  <c r="Y27" i="21"/>
  <c r="X27" i="21"/>
  <c r="W27" i="21"/>
  <c r="V27" i="21"/>
  <c r="U27" i="21"/>
  <c r="T27" i="21"/>
  <c r="S27" i="21"/>
  <c r="R27" i="21"/>
  <c r="Q27" i="21"/>
  <c r="P27" i="21"/>
  <c r="O27" i="21"/>
  <c r="N27" i="21"/>
  <c r="M27" i="21"/>
  <c r="L27" i="21"/>
  <c r="K27" i="21"/>
  <c r="J27" i="21"/>
  <c r="I27" i="21"/>
  <c r="H27" i="21"/>
  <c r="G27" i="21"/>
  <c r="F27" i="21"/>
  <c r="E27" i="21"/>
  <c r="AS26" i="21"/>
  <c r="AR26" i="21"/>
  <c r="AQ26" i="21"/>
  <c r="AP26" i="21"/>
  <c r="AO26" i="21"/>
  <c r="AN26" i="21"/>
  <c r="AM26" i="21"/>
  <c r="AL26" i="21"/>
  <c r="AK26" i="21"/>
  <c r="AJ26" i="21"/>
  <c r="AI26" i="21"/>
  <c r="AH26" i="21"/>
  <c r="AS25" i="21"/>
  <c r="AR25" i="21"/>
  <c r="AQ25" i="21"/>
  <c r="AP25" i="21"/>
  <c r="AO25" i="21"/>
  <c r="AN25" i="21"/>
  <c r="AM25" i="21"/>
  <c r="AL25" i="21"/>
  <c r="AK25" i="21"/>
  <c r="AJ25" i="21"/>
  <c r="AI25" i="21"/>
  <c r="AH25" i="21"/>
  <c r="AH24" i="21"/>
  <c r="AS23" i="21"/>
  <c r="AR23" i="21"/>
  <c r="AR22" i="21"/>
  <c r="AQ22" i="21"/>
  <c r="AR21" i="21"/>
  <c r="AQ21" i="21"/>
  <c r="AH20" i="21"/>
  <c r="AH19" i="21"/>
  <c r="AH18" i="21"/>
  <c r="AH17" i="21"/>
  <c r="AH16" i="21"/>
  <c r="AS15" i="21"/>
  <c r="AR15" i="21"/>
  <c r="AQ15" i="21"/>
  <c r="AP15" i="21"/>
  <c r="AP31" i="21" s="1"/>
  <c r="AO15" i="21"/>
  <c r="AO31" i="21" s="1"/>
  <c r="AN15" i="21"/>
  <c r="AN31" i="21" s="1"/>
  <c r="AM15" i="21"/>
  <c r="AL15" i="21"/>
  <c r="AL31" i="21" s="1"/>
  <c r="AK15" i="21"/>
  <c r="AK31" i="21" s="1"/>
  <c r="AJ15" i="21"/>
  <c r="AJ31" i="21" s="1"/>
  <c r="AI15" i="21"/>
  <c r="AH15" i="21"/>
  <c r="AG14" i="21"/>
  <c r="AG31" i="21" s="1"/>
  <c r="AF14" i="21"/>
  <c r="AF31" i="21" s="1"/>
  <c r="AE13" i="21"/>
  <c r="AD13" i="21"/>
  <c r="AD31" i="21" s="1"/>
  <c r="AC13" i="21"/>
  <c r="AC31" i="21" s="1"/>
  <c r="AB13" i="21"/>
  <c r="AB31" i="21" s="1"/>
  <c r="AA12" i="21"/>
  <c r="Z12" i="21"/>
  <c r="Z31" i="21" s="1"/>
  <c r="Y12" i="21"/>
  <c r="Y31" i="21" s="1"/>
  <c r="X12" i="21"/>
  <c r="X31" i="21" s="1"/>
  <c r="W12" i="21"/>
  <c r="V11" i="21"/>
  <c r="V31" i="21" s="1"/>
  <c r="U11" i="21"/>
  <c r="U31" i="21" s="1"/>
  <c r="T11" i="21"/>
  <c r="T31" i="21" s="1"/>
  <c r="S10" i="21"/>
  <c r="R10" i="21"/>
  <c r="R31" i="21" s="1"/>
  <c r="Q10" i="21"/>
  <c r="Q31" i="21" s="1"/>
  <c r="P10" i="21"/>
  <c r="P31" i="21" s="1"/>
  <c r="O9" i="21"/>
  <c r="N9" i="21"/>
  <c r="N31" i="21" s="1"/>
  <c r="M9" i="21"/>
  <c r="M31" i="21" s="1"/>
  <c r="L8" i="21"/>
  <c r="L31" i="21" s="1"/>
  <c r="K8" i="21"/>
  <c r="J8" i="21"/>
  <c r="J31" i="21" s="1"/>
  <c r="I8" i="21"/>
  <c r="I31" i="21" s="1"/>
  <c r="H7" i="21"/>
  <c r="H31" i="21" s="1"/>
  <c r="G7" i="21"/>
  <c r="F6" i="21"/>
  <c r="F31" i="21" s="1"/>
  <c r="E5" i="21"/>
  <c r="E31" i="21" s="1"/>
  <c r="N45" i="20"/>
  <c r="AD14" i="12" l="1"/>
  <c r="O53" i="22"/>
  <c r="N53" i="22"/>
  <c r="N54" i="22"/>
  <c r="K13" i="22"/>
  <c r="N13" i="22"/>
  <c r="O31" i="22"/>
  <c r="N42" i="22"/>
  <c r="K14" i="22"/>
  <c r="I15" i="22"/>
  <c r="N40" i="22"/>
  <c r="O30" i="22"/>
  <c r="E11" i="22"/>
  <c r="J11" i="22" s="1"/>
  <c r="O50" i="22" s="1"/>
  <c r="N14" i="22"/>
  <c r="N22" i="22"/>
  <c r="N33" i="22"/>
  <c r="H11" i="22"/>
  <c r="K12" i="22"/>
  <c r="N32" i="22"/>
  <c r="O33" i="22"/>
  <c r="N21" i="22"/>
  <c r="N12" i="22"/>
  <c r="P33" i="22"/>
  <c r="AI4" i="12"/>
  <c r="AE17" i="12"/>
  <c r="W15" i="12"/>
  <c r="U15" i="12"/>
  <c r="U13" i="12" s="1"/>
  <c r="U17" i="12" s="1"/>
  <c r="U19" i="12" s="1"/>
  <c r="V15" i="12"/>
  <c r="V13" i="12" s="1"/>
  <c r="V17" i="12" s="1"/>
  <c r="V19" i="12" s="1"/>
  <c r="U4" i="12"/>
  <c r="W13" i="12"/>
  <c r="W17" i="12" s="1"/>
  <c r="W19" i="12" s="1"/>
  <c r="X13" i="12"/>
  <c r="X17" i="12" s="1"/>
  <c r="X19" i="12" s="1"/>
  <c r="P14" i="12"/>
  <c r="Q13" i="12"/>
  <c r="P11" i="12"/>
  <c r="P12" i="12"/>
  <c r="AH31" i="21"/>
  <c r="AS31" i="21"/>
  <c r="G31" i="21"/>
  <c r="BB31" i="21" s="1"/>
  <c r="K31" i="21"/>
  <c r="K32" i="21" s="1"/>
  <c r="O31" i="21"/>
  <c r="S31" i="21"/>
  <c r="W31" i="21"/>
  <c r="AA31" i="21"/>
  <c r="AE31" i="21"/>
  <c r="AI31" i="21"/>
  <c r="AM31" i="21"/>
  <c r="AI32" i="21" s="1"/>
  <c r="AQ31" i="21"/>
  <c r="AO32" i="21" s="1"/>
  <c r="AR31" i="21"/>
  <c r="AU31" i="21"/>
  <c r="AU32" i="21" s="1"/>
  <c r="W32" i="21"/>
  <c r="E32" i="21"/>
  <c r="AC32" i="21"/>
  <c r="Q32" i="21"/>
  <c r="X7" i="14"/>
  <c r="X9" i="14"/>
  <c r="F5" i="15"/>
  <c r="G5" i="15" s="1"/>
  <c r="F6" i="15"/>
  <c r="G6" i="15" s="1"/>
  <c r="F7" i="15"/>
  <c r="G7" i="15" s="1"/>
  <c r="F8" i="15"/>
  <c r="G8" i="15" s="1"/>
  <c r="F9" i="15"/>
  <c r="G9" i="15"/>
  <c r="F10" i="15"/>
  <c r="G10" i="15" s="1"/>
  <c r="F11" i="15"/>
  <c r="G11" i="15" s="1"/>
  <c r="F12" i="15"/>
  <c r="G12" i="15"/>
  <c r="F13" i="15"/>
  <c r="G13" i="15" s="1"/>
  <c r="D19" i="15"/>
  <c r="F19" i="15" s="1"/>
  <c r="D20" i="15"/>
  <c r="F20" i="15" s="1"/>
  <c r="D21" i="15"/>
  <c r="F21" i="15"/>
  <c r="D22" i="15"/>
  <c r="F22" i="15"/>
  <c r="G22" i="15"/>
  <c r="D23" i="15"/>
  <c r="F23" i="15" s="1"/>
  <c r="D24" i="15"/>
  <c r="F24" i="15" s="1"/>
  <c r="D25" i="15"/>
  <c r="F25" i="15" s="1"/>
  <c r="D26" i="15"/>
  <c r="F26" i="15" s="1"/>
  <c r="D27" i="15"/>
  <c r="F27" i="15" s="1"/>
  <c r="K15" i="15"/>
  <c r="K11" i="15"/>
  <c r="K9" i="15"/>
  <c r="X16" i="12" l="1"/>
  <c r="W16" i="12"/>
  <c r="AK16" i="12"/>
  <c r="AM16" i="12"/>
  <c r="AL16" i="12"/>
  <c r="O54" i="22"/>
  <c r="N55" i="22" s="1"/>
  <c r="AM12" i="12" s="1"/>
  <c r="N44" i="22"/>
  <c r="P30" i="22"/>
  <c r="P34" i="22" s="1"/>
  <c r="O40" i="22"/>
  <c r="O44" i="22" s="1"/>
  <c r="J15" i="22"/>
  <c r="O34" i="22"/>
  <c r="N20" i="22"/>
  <c r="N24" i="22" s="1"/>
  <c r="AJ12" i="12" s="1"/>
  <c r="H15" i="22"/>
  <c r="N11" i="22"/>
  <c r="N15" i="22" s="1"/>
  <c r="AI12" i="12" s="1"/>
  <c r="N30" i="22"/>
  <c r="N34" i="22" s="1"/>
  <c r="K11" i="22"/>
  <c r="K15" i="22" s="1"/>
  <c r="AE19" i="12"/>
  <c r="AE20" i="12" s="1"/>
  <c r="AF20" i="12" s="1"/>
  <c r="AG20" i="12" s="1"/>
  <c r="AH20" i="12" s="1"/>
  <c r="AE18" i="12"/>
  <c r="AF18" i="12" s="1"/>
  <c r="AG18" i="12" s="1"/>
  <c r="AH18" i="12" s="1"/>
  <c r="P15" i="12"/>
  <c r="P13" i="12"/>
  <c r="Q17" i="12"/>
  <c r="G23" i="15"/>
  <c r="G24" i="15"/>
  <c r="G27" i="15"/>
  <c r="G21" i="15"/>
  <c r="D18" i="15"/>
  <c r="F4" i="15"/>
  <c r="F14" i="15" s="1"/>
  <c r="D14" i="15"/>
  <c r="G26" i="15"/>
  <c r="G25" i="15"/>
  <c r="G20" i="15"/>
  <c r="G19" i="15"/>
  <c r="O41" i="20"/>
  <c r="O42" i="20"/>
  <c r="P31" i="20"/>
  <c r="P32" i="20"/>
  <c r="R5" i="1"/>
  <c r="H13" i="20"/>
  <c r="N13" i="20" s="1"/>
  <c r="E12" i="20"/>
  <c r="E13" i="20"/>
  <c r="D11" i="20"/>
  <c r="I11" i="20" s="1"/>
  <c r="P4" i="1"/>
  <c r="R4" i="1"/>
  <c r="U4" i="1"/>
  <c r="I13" i="20" s="1"/>
  <c r="N42" i="20" s="1"/>
  <c r="W4" i="1"/>
  <c r="W6" i="1" s="1"/>
  <c r="Z6" i="1" s="1"/>
  <c r="P5" i="1"/>
  <c r="U5" i="1"/>
  <c r="I14" i="20" s="1"/>
  <c r="N43" i="20" s="1"/>
  <c r="W5" i="1"/>
  <c r="P6" i="1"/>
  <c r="P7" i="1" s="1"/>
  <c r="P8" i="1" s="1"/>
  <c r="R6" i="1"/>
  <c r="V6" i="1"/>
  <c r="R7" i="1"/>
  <c r="R8" i="1"/>
  <c r="Q9" i="1"/>
  <c r="Y5" i="4"/>
  <c r="Z5" i="4" s="1"/>
  <c r="Y6" i="4"/>
  <c r="Z6" i="4" s="1"/>
  <c r="Y7" i="4"/>
  <c r="Z7" i="4" s="1"/>
  <c r="Y8" i="4"/>
  <c r="Z8" i="4" s="1"/>
  <c r="Y9" i="4"/>
  <c r="Z9" i="4" s="1"/>
  <c r="Y10" i="4"/>
  <c r="Z10" i="4"/>
  <c r="P4" i="14"/>
  <c r="P5" i="14"/>
  <c r="P6" i="14"/>
  <c r="AD16" i="12" l="1"/>
  <c r="AM11" i="12"/>
  <c r="AM15" i="12"/>
  <c r="AM13" i="12" s="1"/>
  <c r="AM17" i="12" s="1"/>
  <c r="AM19" i="12" s="1"/>
  <c r="AJ15" i="12"/>
  <c r="AJ13" i="12" s="1"/>
  <c r="AJ17" i="12" s="1"/>
  <c r="AJ19" i="12" s="1"/>
  <c r="AJ11" i="12"/>
  <c r="AI15" i="12"/>
  <c r="AI11" i="12"/>
  <c r="N57" i="22"/>
  <c r="N45" i="22"/>
  <c r="AL12" i="12" s="1"/>
  <c r="N35" i="22"/>
  <c r="AK12" i="12" s="1"/>
  <c r="Q18" i="12"/>
  <c r="R18" i="12" s="1"/>
  <c r="S18" i="12" s="1"/>
  <c r="T18" i="12" s="1"/>
  <c r="U18" i="12" s="1"/>
  <c r="V18" i="12" s="1"/>
  <c r="W18" i="12" s="1"/>
  <c r="X18" i="12" s="1"/>
  <c r="Q19" i="12"/>
  <c r="Q20" i="12" s="1"/>
  <c r="R20" i="12" s="1"/>
  <c r="S20" i="12" s="1"/>
  <c r="T20" i="12" s="1"/>
  <c r="U20" i="12" s="1"/>
  <c r="V20" i="12" s="1"/>
  <c r="W20" i="12" s="1"/>
  <c r="X20" i="12" s="1"/>
  <c r="AA18" i="12" s="1"/>
  <c r="AA19" i="12" s="1"/>
  <c r="AA17" i="12"/>
  <c r="J14" i="20"/>
  <c r="O43" i="20" s="1"/>
  <c r="H14" i="20"/>
  <c r="N14" i="20" s="1"/>
  <c r="R9" i="1"/>
  <c r="Z5" i="1" s="1"/>
  <c r="G4" i="15"/>
  <c r="G14" i="15" s="1"/>
  <c r="F18" i="15"/>
  <c r="F28" i="15" s="1"/>
  <c r="D28" i="15"/>
  <c r="O33" i="20"/>
  <c r="O32" i="20"/>
  <c r="O30" i="20"/>
  <c r="N40" i="20"/>
  <c r="E11" i="20"/>
  <c r="J11" i="20" s="1"/>
  <c r="H11" i="20"/>
  <c r="N33" i="20"/>
  <c r="N32" i="20"/>
  <c r="N22" i="20"/>
  <c r="H12" i="20"/>
  <c r="I12" i="20"/>
  <c r="K13" i="20"/>
  <c r="M6" i="1"/>
  <c r="L10" i="1"/>
  <c r="L9" i="1"/>
  <c r="L8" i="1"/>
  <c r="L7" i="1"/>
  <c r="L6" i="1"/>
  <c r="L5" i="1"/>
  <c r="M8" i="1"/>
  <c r="AL15" i="12" l="1"/>
  <c r="AL13" i="12" s="1"/>
  <c r="AL17" i="12" s="1"/>
  <c r="AL19" i="12" s="1"/>
  <c r="AL11" i="12"/>
  <c r="AD12" i="12"/>
  <c r="AI13" i="12"/>
  <c r="AK15" i="12"/>
  <c r="AK13" i="12" s="1"/>
  <c r="AK17" i="12" s="1"/>
  <c r="AK19" i="12" s="1"/>
  <c r="AK11" i="12"/>
  <c r="AD11" i="12" s="1"/>
  <c r="N23" i="20"/>
  <c r="J15" i="20"/>
  <c r="K14" i="20"/>
  <c r="P33" i="20"/>
  <c r="G18" i="15"/>
  <c r="G28" i="15" s="1"/>
  <c r="N41" i="20"/>
  <c r="O31" i="20"/>
  <c r="H15" i="20"/>
  <c r="N11" i="20"/>
  <c r="I15" i="20"/>
  <c r="N31" i="20"/>
  <c r="N12" i="20"/>
  <c r="N30" i="20"/>
  <c r="N20" i="20"/>
  <c r="O40" i="20"/>
  <c r="O44" i="20" s="1"/>
  <c r="P30" i="20"/>
  <c r="K11" i="20"/>
  <c r="K12" i="20"/>
  <c r="N21" i="20"/>
  <c r="AD15" i="12" l="1"/>
  <c r="AI17" i="12"/>
  <c r="AP17" i="12" s="1"/>
  <c r="AD13" i="12"/>
  <c r="P34" i="20"/>
  <c r="N15" i="20"/>
  <c r="N34" i="20"/>
  <c r="O34" i="20"/>
  <c r="N44" i="20"/>
  <c r="K15" i="20"/>
  <c r="N24" i="20"/>
  <c r="AI19" i="12" l="1"/>
  <c r="AI20" i="12" s="1"/>
  <c r="AJ20" i="12" s="1"/>
  <c r="AK20" i="12" s="1"/>
  <c r="AL20" i="12" s="1"/>
  <c r="AI18" i="12"/>
  <c r="AJ18" i="12" s="1"/>
  <c r="AK18" i="12" s="1"/>
  <c r="AL18" i="12" s="1"/>
  <c r="AM18" i="12" s="1"/>
  <c r="N35" i="20"/>
  <c r="N47" i="20"/>
  <c r="AM20" i="12" l="1"/>
  <c r="AP18" i="12" s="1"/>
  <c r="AP19" i="12" s="1"/>
  <c r="N14" i="15"/>
  <c r="K10" i="15"/>
  <c r="M13" i="15"/>
  <c r="N13" i="15" s="1"/>
  <c r="M15" i="15"/>
  <c r="M8" i="15"/>
  <c r="N8" i="15" s="1"/>
  <c r="M7" i="15"/>
  <c r="N7" i="15" s="1"/>
  <c r="M5" i="15"/>
  <c r="N5" i="15" s="1"/>
  <c r="M4" i="15"/>
  <c r="M6" i="15" l="1"/>
  <c r="N6" i="15" s="1"/>
  <c r="N15" i="15"/>
  <c r="N4" i="15"/>
  <c r="M9" i="15" l="1"/>
  <c r="N9" i="15" s="1"/>
  <c r="M12" i="15"/>
  <c r="N12" i="15" s="1"/>
  <c r="M10" i="15"/>
  <c r="N10" i="15" s="1"/>
  <c r="K16" i="15"/>
  <c r="M11" i="15"/>
  <c r="N11" i="15" s="1"/>
  <c r="M16" i="15" l="1"/>
  <c r="N16" i="15" s="1"/>
  <c r="C11" i="12" l="1"/>
  <c r="D11" i="12"/>
  <c r="E11" i="12"/>
  <c r="C13" i="12"/>
  <c r="C17" i="12" s="1"/>
  <c r="C19" i="12" s="1"/>
  <c r="D13" i="12"/>
  <c r="D17" i="12" s="1"/>
  <c r="D19" i="12" s="1"/>
  <c r="E13" i="12"/>
  <c r="E17" i="12" s="1"/>
  <c r="E19" i="12" s="1"/>
  <c r="F13" i="12"/>
  <c r="B14" i="12"/>
  <c r="C18" i="12" l="1"/>
  <c r="D18" i="12" s="1"/>
  <c r="E18" i="12" s="1"/>
  <c r="C20" i="12"/>
  <c r="D20" i="12" s="1"/>
  <c r="E20" i="12" s="1"/>
  <c r="F17" i="12" l="1"/>
  <c r="F19" i="12" s="1"/>
  <c r="F18" i="12" l="1"/>
  <c r="F11" i="12"/>
  <c r="F20" i="12" l="1"/>
  <c r="O7" i="2" l="1"/>
  <c r="P7" i="3"/>
  <c r="S3" i="3"/>
  <c r="S4" i="3"/>
  <c r="T4" i="3"/>
  <c r="U4" i="3"/>
  <c r="S5" i="3"/>
  <c r="T5" i="3"/>
  <c r="U5" i="3"/>
  <c r="P4" i="4"/>
  <c r="S4" i="4"/>
  <c r="P5" i="4"/>
  <c r="Q5" i="4"/>
  <c r="P6" i="4"/>
  <c r="Q6" i="4"/>
  <c r="P7" i="4"/>
  <c r="Q7" i="4"/>
  <c r="P8" i="4"/>
  <c r="Q8" i="4"/>
  <c r="V3" i="3"/>
  <c r="S6" i="3"/>
  <c r="T6" i="3"/>
  <c r="U6" i="3"/>
  <c r="S7" i="3"/>
  <c r="T7" i="3"/>
  <c r="U7" i="3"/>
  <c r="P9" i="4"/>
  <c r="Q9" i="4"/>
  <c r="P10" i="4"/>
  <c r="Q10" i="4"/>
  <c r="P11" i="4"/>
  <c r="Q11" i="4"/>
  <c r="P12" i="4"/>
  <c r="Q12" i="4"/>
  <c r="S8" i="3"/>
  <c r="T8" i="3"/>
  <c r="U8" i="3"/>
  <c r="S9" i="3"/>
  <c r="T9" i="3"/>
  <c r="U9" i="3"/>
  <c r="S10" i="3"/>
  <c r="T10" i="3"/>
  <c r="U10" i="3"/>
  <c r="S11" i="3"/>
  <c r="T11" i="3"/>
  <c r="U11" i="3"/>
  <c r="Q3" i="2"/>
  <c r="T3" i="2"/>
  <c r="Q4" i="2"/>
  <c r="Q5" i="2"/>
  <c r="Q6" i="2"/>
  <c r="Q7" i="2"/>
  <c r="Q8" i="2"/>
  <c r="Q9" i="2"/>
  <c r="Q10" i="2"/>
  <c r="Q11" i="2"/>
  <c r="J4" i="3" l="1"/>
  <c r="V4" i="3" s="1"/>
  <c r="J5" i="3"/>
  <c r="V5" i="3" s="1"/>
  <c r="J6" i="3"/>
  <c r="V6" i="3" s="1"/>
  <c r="J7" i="3"/>
  <c r="V7" i="3" s="1"/>
  <c r="J8" i="3"/>
  <c r="J9" i="3"/>
  <c r="J10" i="3"/>
  <c r="J11" i="3"/>
  <c r="V11" i="3" l="1"/>
  <c r="V9" i="3"/>
  <c r="V10" i="3"/>
  <c r="V8" i="3"/>
  <c r="F9" i="1"/>
  <c r="N10" i="4"/>
  <c r="N8" i="4"/>
  <c r="L9" i="3"/>
  <c r="I12" i="4"/>
  <c r="S12" i="4" s="1"/>
  <c r="E12" i="4"/>
  <c r="I11" i="4"/>
  <c r="S11" i="4" s="1"/>
  <c r="E11" i="4"/>
  <c r="R11" i="4" s="1"/>
  <c r="I10" i="4"/>
  <c r="S10" i="4" s="1"/>
  <c r="E10" i="4"/>
  <c r="R10" i="4" s="1"/>
  <c r="I9" i="4"/>
  <c r="S9" i="4" s="1"/>
  <c r="E9" i="4"/>
  <c r="R9" i="4" s="1"/>
  <c r="I8" i="4"/>
  <c r="S8" i="4" s="1"/>
  <c r="E8" i="4"/>
  <c r="R8" i="4" s="1"/>
  <c r="I7" i="4"/>
  <c r="S7" i="4" s="1"/>
  <c r="E7" i="4"/>
  <c r="R7" i="4" s="1"/>
  <c r="I6" i="4"/>
  <c r="S6" i="4" s="1"/>
  <c r="E6" i="4"/>
  <c r="R6" i="4" s="1"/>
  <c r="I5" i="4"/>
  <c r="S5" i="4" s="1"/>
  <c r="E5" i="4"/>
  <c r="R5" i="4" s="1"/>
  <c r="L11" i="3"/>
  <c r="L8" i="3"/>
  <c r="L6" i="3"/>
  <c r="W6" i="3" s="1"/>
  <c r="L4" i="3"/>
  <c r="W4" i="3" s="1"/>
  <c r="K12" i="3"/>
  <c r="W9" i="3" l="1"/>
  <c r="W8" i="3"/>
  <c r="W11" i="3"/>
  <c r="J12" i="4"/>
  <c r="T12" i="4" s="1"/>
  <c r="R12" i="4"/>
  <c r="J7" i="4"/>
  <c r="T7" i="4" s="1"/>
  <c r="J6" i="4"/>
  <c r="T6" i="4" s="1"/>
  <c r="J10" i="4"/>
  <c r="T10" i="4" s="1"/>
  <c r="J5" i="4"/>
  <c r="T5" i="4" s="1"/>
  <c r="L7" i="3"/>
  <c r="W7" i="3" s="1"/>
  <c r="J9" i="4"/>
  <c r="T9" i="4" s="1"/>
  <c r="J11" i="4"/>
  <c r="T11" i="4" s="1"/>
  <c r="J8" i="4"/>
  <c r="T8" i="4" s="1"/>
  <c r="L5" i="3"/>
  <c r="W5" i="3" s="1"/>
  <c r="F10" i="3"/>
  <c r="D4" i="2"/>
  <c r="J11" i="2"/>
  <c r="D11" i="2"/>
  <c r="J10" i="2"/>
  <c r="D10" i="2"/>
  <c r="J9" i="2"/>
  <c r="D9" i="2"/>
  <c r="J8" i="2"/>
  <c r="D8" i="2"/>
  <c r="J7" i="2"/>
  <c r="D7" i="2"/>
  <c r="J6" i="2"/>
  <c r="D6" i="2"/>
  <c r="J5" i="2"/>
  <c r="D5" i="2"/>
  <c r="J4" i="2"/>
  <c r="F10" i="1"/>
  <c r="F11" i="1"/>
  <c r="E23" i="1"/>
  <c r="D23" i="1"/>
  <c r="E22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R8" i="2" l="1"/>
  <c r="R4" i="2"/>
  <c r="T4" i="2"/>
  <c r="T10" i="2"/>
  <c r="R5" i="2"/>
  <c r="R7" i="2"/>
  <c r="R9" i="2"/>
  <c r="R11" i="2"/>
  <c r="R6" i="2"/>
  <c r="R10" i="2"/>
  <c r="T6" i="2"/>
  <c r="T8" i="2"/>
  <c r="T7" i="2"/>
  <c r="J13" i="4"/>
  <c r="T6" i="14" s="1"/>
  <c r="L10" i="3"/>
  <c r="T5" i="2"/>
  <c r="T9" i="2"/>
  <c r="T11" i="2"/>
  <c r="E5" i="2"/>
  <c r="E7" i="2"/>
  <c r="E9" i="2"/>
  <c r="E11" i="2"/>
  <c r="E6" i="2"/>
  <c r="E8" i="2"/>
  <c r="E10" i="2"/>
  <c r="E4" i="2"/>
  <c r="G4" i="1"/>
  <c r="H4" i="1" s="1"/>
  <c r="G7" i="1"/>
  <c r="H7" i="1" s="1"/>
  <c r="G8" i="1"/>
  <c r="H8" i="1" s="1"/>
  <c r="G12" i="1"/>
  <c r="H12" i="1" s="1"/>
  <c r="G16" i="1"/>
  <c r="H16" i="1" s="1"/>
  <c r="G20" i="1"/>
  <c r="H20" i="1" s="1"/>
  <c r="G23" i="1"/>
  <c r="H23" i="1" s="1"/>
  <c r="G15" i="1"/>
  <c r="H15" i="1" s="1"/>
  <c r="G5" i="1"/>
  <c r="H5" i="1" s="1"/>
  <c r="G9" i="1"/>
  <c r="H9" i="1" s="1"/>
  <c r="G13" i="1"/>
  <c r="H13" i="1" s="1"/>
  <c r="G17" i="1"/>
  <c r="H17" i="1" s="1"/>
  <c r="G21" i="1"/>
  <c r="H21" i="1" s="1"/>
  <c r="G11" i="1"/>
  <c r="H11" i="1" s="1"/>
  <c r="G19" i="1"/>
  <c r="H19" i="1" s="1"/>
  <c r="G6" i="1"/>
  <c r="H6" i="1" s="1"/>
  <c r="G10" i="1"/>
  <c r="H10" i="1" s="1"/>
  <c r="G14" i="1"/>
  <c r="H14" i="1" s="1"/>
  <c r="G18" i="1"/>
  <c r="H18" i="1" s="1"/>
  <c r="G22" i="1"/>
  <c r="H22" i="1" s="1"/>
  <c r="E24" i="1"/>
  <c r="F24" i="1"/>
  <c r="D24" i="1"/>
  <c r="H24" i="1" l="1"/>
  <c r="W10" i="3"/>
  <c r="T13" i="4"/>
  <c r="S6" i="2"/>
  <c r="S11" i="2"/>
  <c r="K11" i="2"/>
  <c r="S4" i="2"/>
  <c r="S8" i="2"/>
  <c r="S10" i="2"/>
  <c r="S7" i="2"/>
  <c r="S9" i="2"/>
  <c r="S5" i="2"/>
  <c r="K7" i="2"/>
  <c r="K9" i="2"/>
  <c r="K5" i="2"/>
  <c r="K10" i="2"/>
  <c r="K8" i="2"/>
  <c r="K4" i="2"/>
  <c r="K6" i="2"/>
  <c r="G24" i="1"/>
  <c r="L12" i="3"/>
  <c r="T4" i="14" s="1"/>
  <c r="Z4" i="1" l="1"/>
  <c r="Z7" i="1" s="1"/>
  <c r="W12" i="3"/>
  <c r="U5" i="2"/>
  <c r="U4" i="2"/>
  <c r="U7" i="2"/>
  <c r="U6" i="2"/>
  <c r="U9" i="2"/>
  <c r="U8" i="2"/>
  <c r="U10" i="2"/>
  <c r="U11" i="2"/>
  <c r="K12" i="2"/>
  <c r="T5" i="14" s="1"/>
  <c r="T7" i="14" s="1"/>
  <c r="G4" i="12" l="1"/>
  <c r="G3" i="12"/>
  <c r="J13" i="12"/>
  <c r="J17" i="12" s="1"/>
  <c r="J19" i="12" s="1"/>
  <c r="U12" i="2"/>
  <c r="L4" i="1"/>
  <c r="J16" i="12" l="1"/>
  <c r="I16" i="12"/>
  <c r="J11" i="12"/>
  <c r="H11" i="12"/>
  <c r="H13" i="12"/>
  <c r="H17" i="12" s="1"/>
  <c r="H19" i="12" s="1"/>
  <c r="B16" i="12"/>
  <c r="B12" i="12"/>
  <c r="G11" i="12"/>
  <c r="I11" i="12"/>
  <c r="I13" i="12"/>
  <c r="I17" i="12" s="1"/>
  <c r="I19" i="12" s="1"/>
  <c r="P16" i="12" l="1"/>
  <c r="B15" i="12"/>
  <c r="G13" i="12"/>
  <c r="B11" i="12"/>
  <c r="G17" i="12" l="1"/>
  <c r="G19" i="12" s="1"/>
  <c r="B13" i="12"/>
  <c r="M17" i="12" l="1"/>
  <c r="G20" i="12"/>
  <c r="H20" i="12" s="1"/>
  <c r="I20" i="12" s="1"/>
  <c r="J20" i="12" s="1"/>
  <c r="M18" i="12" s="1"/>
  <c r="M19" i="12" s="1"/>
  <c r="G18" i="12"/>
  <c r="H18" i="12" s="1"/>
  <c r="I18" i="12" s="1"/>
  <c r="J18" i="12" s="1"/>
</calcChain>
</file>

<file path=xl/sharedStrings.xml><?xml version="1.0" encoding="utf-8"?>
<sst xmlns="http://schemas.openxmlformats.org/spreadsheetml/2006/main" count="635" uniqueCount="220">
  <si>
    <t>3+kk</t>
  </si>
  <si>
    <t>1+kk</t>
  </si>
  <si>
    <t>2+kk</t>
  </si>
  <si>
    <t>1+1</t>
  </si>
  <si>
    <t>Název</t>
  </si>
  <si>
    <t>Vivus Uhříněves II.</t>
  </si>
  <si>
    <t>Parkovací stání</t>
  </si>
  <si>
    <t>U Starého mlýna</t>
  </si>
  <si>
    <t>Dispozice</t>
  </si>
  <si>
    <t>Cena celkem vč. DPH (Kč)</t>
  </si>
  <si>
    <t>Cena celkem bez DPH (Kč)</t>
  </si>
  <si>
    <t>1 garážové</t>
  </si>
  <si>
    <t>Ozn. sklepu</t>
  </si>
  <si>
    <r>
      <t>Plocha balkonu, lodžie, terasy (m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>)</t>
    </r>
  </si>
  <si>
    <r>
      <t>Plocha předzahrádky (m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>)</t>
    </r>
  </si>
  <si>
    <r>
      <t>Průměrná cena bytu za 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 xml:space="preserve"> bez DPH (Kč)</t>
    </r>
  </si>
  <si>
    <r>
      <t>Plocha sklepu (m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>)</t>
    </r>
  </si>
  <si>
    <t>Celkem</t>
  </si>
  <si>
    <r>
      <t>Čistá podlahová plocha bytu (m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>)</t>
    </r>
  </si>
  <si>
    <r>
      <t>Cena za 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 xml:space="preserve"> čisté podlahové plochy bytu bez DPH (Kč)</t>
    </r>
  </si>
  <si>
    <t>Garážové stání</t>
  </si>
  <si>
    <r>
      <t>Balkon, lodžie, terasa plochy do 15 m</t>
    </r>
    <r>
      <rPr>
        <vertAlign val="superscript"/>
        <sz val="11"/>
        <color theme="1"/>
        <rFont val="Times New Roman"/>
        <family val="1"/>
        <charset val="238"/>
      </rPr>
      <t>2</t>
    </r>
  </si>
  <si>
    <r>
      <t>Balkon, lodžie, terasa plochy nad 15 m</t>
    </r>
    <r>
      <rPr>
        <vertAlign val="superscript"/>
        <sz val="11"/>
        <color theme="1"/>
        <rFont val="Times New Roman"/>
        <family val="1"/>
        <charset val="238"/>
      </rPr>
      <t>2</t>
    </r>
  </si>
  <si>
    <t>MJ</t>
  </si>
  <si>
    <t>ks</t>
  </si>
  <si>
    <r>
      <t>m</t>
    </r>
    <r>
      <rPr>
        <vertAlign val="superscript"/>
        <sz val="11"/>
        <color theme="1"/>
        <rFont val="Times New Roman"/>
        <family val="1"/>
        <charset val="238"/>
      </rPr>
      <t>2</t>
    </r>
  </si>
  <si>
    <t>Sklep</t>
  </si>
  <si>
    <t>Cena bez DPH (Kč)</t>
  </si>
  <si>
    <t>Název projektu</t>
  </si>
  <si>
    <t>Nad Volyňkou</t>
  </si>
  <si>
    <t>Celková průměrná cena</t>
  </si>
  <si>
    <r>
      <t>Průměrná cena za 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 xml:space="preserve"> čisté podlahové plochy bytu bez DPH (Kč)</t>
    </r>
  </si>
  <si>
    <t>Celková cena bytu bez DPH (Kč)</t>
  </si>
  <si>
    <t>-</t>
  </si>
  <si>
    <t>Ozn. bytu</t>
  </si>
  <si>
    <r>
      <t>Výměra (m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>)</t>
    </r>
  </si>
  <si>
    <t>Počet (ks)</t>
  </si>
  <si>
    <r>
      <t>Celková cena za 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 xml:space="preserve"> bytu bez DPH (Kč)</t>
    </r>
  </si>
  <si>
    <r>
      <t>Předzahrádka plochy do 100 m</t>
    </r>
    <r>
      <rPr>
        <vertAlign val="superscript"/>
        <sz val="11"/>
        <color theme="1"/>
        <rFont val="Times New Roman"/>
        <family val="1"/>
        <charset val="238"/>
      </rPr>
      <t>2</t>
    </r>
  </si>
  <si>
    <r>
      <t>Předzahrádka plochy nad 100 m</t>
    </r>
    <r>
      <rPr>
        <vertAlign val="superscript"/>
        <sz val="11"/>
        <color theme="1"/>
        <rFont val="Times New Roman"/>
        <family val="1"/>
        <charset val="238"/>
      </rPr>
      <t>2</t>
    </r>
  </si>
  <si>
    <r>
      <t>Cena za 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 xml:space="preserve"> plochy sklepu bez DPH (Kč)</t>
    </r>
  </si>
  <si>
    <r>
      <t>Podlahová plocha bytu (m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>)</t>
    </r>
  </si>
  <si>
    <t>Průměr</t>
  </si>
  <si>
    <t>Venkovní parkovací stání</t>
  </si>
  <si>
    <t>Cena za kus bez DPH (Kč)</t>
  </si>
  <si>
    <t>Venkovní park. stání</t>
  </si>
  <si>
    <r>
      <t>Cena za 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 xml:space="preserve"> bez DPH (Kč) </t>
    </r>
  </si>
  <si>
    <t>Byty</t>
  </si>
  <si>
    <t>Sklepy</t>
  </si>
  <si>
    <t>Garážové park. stání</t>
  </si>
  <si>
    <t>Parkovácí stání</t>
  </si>
  <si>
    <t>Bytů celkem</t>
  </si>
  <si>
    <t>Bytů prodáno</t>
  </si>
  <si>
    <t>Termín dokončení</t>
  </si>
  <si>
    <t>2. polovina roku 2017</t>
  </si>
  <si>
    <t>duben roku 2017</t>
  </si>
  <si>
    <t>NPV</t>
  </si>
  <si>
    <t>IRR</t>
  </si>
  <si>
    <t>Provize pro realitní kancelář</t>
  </si>
  <si>
    <t>Investiční náklady</t>
  </si>
  <si>
    <t>Záporné peněžní toky</t>
  </si>
  <si>
    <t>Kladné peněžní toky</t>
  </si>
  <si>
    <t>Činnost</t>
  </si>
  <si>
    <t>Doplacená částka</t>
  </si>
  <si>
    <t>Celkový příjem</t>
  </si>
  <si>
    <t>Délky výstavby v měsících</t>
  </si>
  <si>
    <t>Délka doprodeje bytů po skončení výstavby</t>
  </si>
  <si>
    <t>Bytů koupeno při výstavbě</t>
  </si>
  <si>
    <t>Bytů koupeno po výstavbě</t>
  </si>
  <si>
    <t>Požadovaný výnos</t>
  </si>
  <si>
    <t>Záloha (při koupi bytu při výstavbě)</t>
  </si>
  <si>
    <t>Romance JK</t>
  </si>
  <si>
    <t>konec roku 2016</t>
  </si>
  <si>
    <t>EKOCITY Uhříněves I</t>
  </si>
  <si>
    <t>Romance F</t>
  </si>
  <si>
    <t>podzim 2015</t>
  </si>
  <si>
    <t>Vilapark Uhříněveská obora</t>
  </si>
  <si>
    <t>podzim 2013</t>
  </si>
  <si>
    <t>léto 2016</t>
  </si>
  <si>
    <t>Počet bytů</t>
  </si>
  <si>
    <t>Zkrácená verze</t>
  </si>
  <si>
    <t>Bytový dům B</t>
  </si>
  <si>
    <t>Číslo SO</t>
  </si>
  <si>
    <t>DPH %</t>
  </si>
  <si>
    <t>DPH (Kč)</t>
  </si>
  <si>
    <t>Cena včetně DPH (Kč)</t>
  </si>
  <si>
    <t>% ze ZRN</t>
  </si>
  <si>
    <t>DPH (%)</t>
  </si>
  <si>
    <t>SO 01</t>
  </si>
  <si>
    <t>Projektové a průzkumné práce</t>
  </si>
  <si>
    <t>SO 02</t>
  </si>
  <si>
    <t>Vodovodní přípojka</t>
  </si>
  <si>
    <t>Provozní soubory</t>
  </si>
  <si>
    <t>SO 03</t>
  </si>
  <si>
    <t>Plynová přípojka</t>
  </si>
  <si>
    <t>Stavební objekty</t>
  </si>
  <si>
    <t>15 a 21</t>
  </si>
  <si>
    <t>SO 04</t>
  </si>
  <si>
    <t>Přípojka NN</t>
  </si>
  <si>
    <t>Stroje, zařízení a inventář</t>
  </si>
  <si>
    <t>SO 05</t>
  </si>
  <si>
    <t>Splašková kanalizační přípojka</t>
  </si>
  <si>
    <t>Umělecká díla</t>
  </si>
  <si>
    <t>SO 06</t>
  </si>
  <si>
    <t>Dešťová kanalizační přípojka</t>
  </si>
  <si>
    <t>Náklady na umístění stavby</t>
  </si>
  <si>
    <t>SO 07</t>
  </si>
  <si>
    <t>Komunikace a zpevněné plochy</t>
  </si>
  <si>
    <t>Ostatní náklady</t>
  </si>
  <si>
    <t>SO 08</t>
  </si>
  <si>
    <t>Oplocení</t>
  </si>
  <si>
    <t>Rezerva</t>
  </si>
  <si>
    <t>SO 09</t>
  </si>
  <si>
    <t>Sadové úpravy</t>
  </si>
  <si>
    <t>Ostatní investice</t>
  </si>
  <si>
    <t>SO 10</t>
  </si>
  <si>
    <t>Telekomunikační přípojka</t>
  </si>
  <si>
    <t>Nehmotný investiční majetek</t>
  </si>
  <si>
    <t>Provozní náklady</t>
  </si>
  <si>
    <t xml:space="preserve">Kompletační činnost </t>
  </si>
  <si>
    <t>PI</t>
  </si>
  <si>
    <t>PP</t>
  </si>
  <si>
    <t>Navrhovaná cena za MJ bez DPH (Kč)</t>
  </si>
  <si>
    <t>Čistá podlahová plocha bytu</t>
  </si>
  <si>
    <t>Průměrná cena u konkurenčních projektů za MJ bez DPH (Kč)</t>
  </si>
  <si>
    <t>% prodaných bytů</t>
  </si>
  <si>
    <t>Náklady bez DPH</t>
  </si>
  <si>
    <t>VF9 uvedení stavby do provozu</t>
  </si>
  <si>
    <t>Kompletační činnost</t>
  </si>
  <si>
    <t>Náklady na umístění stavby (NUS)</t>
  </si>
  <si>
    <t>VF8 autorský a technický dozor</t>
  </si>
  <si>
    <t>SO 10 - Telekomunikační přípojka</t>
  </si>
  <si>
    <t>SO 09 - Sadové úpravy</t>
  </si>
  <si>
    <t>SO 08 - Oplocení</t>
  </si>
  <si>
    <t>SO 07 - Komunikace a zpevněné plochy</t>
  </si>
  <si>
    <t>SO 06 - Dešťová kanalizační přípojka</t>
  </si>
  <si>
    <t>SO 05 - Splašková kanalizační přípojka</t>
  </si>
  <si>
    <t>SO 04 - Přípojka NN</t>
  </si>
  <si>
    <t>SO 03 - Plynová přípojka</t>
  </si>
  <si>
    <t>SO 02 - Vodovodní přípojka</t>
  </si>
  <si>
    <t>VF7 výběr dodavatele</t>
  </si>
  <si>
    <t>VF6 dokumentace pro zadání stavby</t>
  </si>
  <si>
    <t>VF5 realizační dokumentace</t>
  </si>
  <si>
    <t>Stavební řízení</t>
  </si>
  <si>
    <t>VF4 dokumentace ke SP</t>
  </si>
  <si>
    <t>Územní řízení</t>
  </si>
  <si>
    <t>VF3 dokumentace pro územní řízení</t>
  </si>
  <si>
    <t>VF2 studie</t>
  </si>
  <si>
    <t>VF1 příprava zakázky</t>
  </si>
  <si>
    <t>Nákup pozemku</t>
  </si>
  <si>
    <t>PROVOZNÍ FÁZE</t>
  </si>
  <si>
    <t>INVESTIČNÍ FÁZE</t>
  </si>
  <si>
    <t>PŘEDINVESTIČNÍ FÁZE</t>
  </si>
  <si>
    <t>Harmonogram</t>
  </si>
  <si>
    <t>Kumulované cash-flow</t>
  </si>
  <si>
    <t>Diskontované cash-flow</t>
  </si>
  <si>
    <t>Kumulované diskontované cash-flow</t>
  </si>
  <si>
    <t>Půlroční období</t>
  </si>
  <si>
    <t>Celkem/k datu</t>
  </si>
  <si>
    <t>Informace o prodeji</t>
  </si>
  <si>
    <t>Garážová park. stání</t>
  </si>
  <si>
    <t>počet měsíců výstavby</t>
  </si>
  <si>
    <t>Záloha bez DPH (Kč)</t>
  </si>
  <si>
    <t>Doplacená částka k záloze bez DPH (Kč)</t>
  </si>
  <si>
    <t>Celá platba bez předchozí zálohy bez DPH (Kč)</t>
  </si>
  <si>
    <t>Celkem bez DPH (Kč)</t>
  </si>
  <si>
    <t>Kontrola</t>
  </si>
  <si>
    <t>Náklady na udržování prostorů</t>
  </si>
  <si>
    <t>Název/rok</t>
  </si>
  <si>
    <t>Termín dokončení výstavby</t>
  </si>
  <si>
    <t>1. čtvrtletí roku 2018</t>
  </si>
  <si>
    <r>
      <t>Cena za 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 xml:space="preserve"> bytu (Kč)</t>
    </r>
  </si>
  <si>
    <t>Bytové prostory</t>
  </si>
  <si>
    <t>Sklepní prostory</t>
  </si>
  <si>
    <t xml:space="preserve">Celkový počet </t>
  </si>
  <si>
    <t>Počet prodaných subjektů po výstavbě</t>
  </si>
  <si>
    <t>Příjmy z prodeje byt. a přid. prostorů</t>
  </si>
  <si>
    <t xml:space="preserve">SO 01 - Bytový dům B </t>
  </si>
  <si>
    <t>Součet po půlrocích</t>
  </si>
  <si>
    <t>Náklady na realitní kancelář</t>
  </si>
  <si>
    <t>Náklady na udrřování prostor</t>
  </si>
  <si>
    <t>Délka výstavby v měsících</t>
  </si>
  <si>
    <t>Délka doprodeje bytů po ukončení výstavby</t>
  </si>
  <si>
    <t>počet měsícu doprodeje bytů</t>
  </si>
  <si>
    <r>
      <t>Cena za 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 xml:space="preserve"> čisté podlahové plochy bez DPH uváděna v projektu Nad Volyňkou (Kč) </t>
    </r>
  </si>
  <si>
    <t>Scénář prodeje</t>
  </si>
  <si>
    <t>Jednotlivé příjmy</t>
  </si>
  <si>
    <t>Propočet</t>
  </si>
  <si>
    <t>Zařízení staveniště</t>
  </si>
  <si>
    <t>Příjem z prodeje bytů</t>
  </si>
  <si>
    <t>Příjem z prodeje sklepů</t>
  </si>
  <si>
    <t>Příjem z prodeje parkovacích stání</t>
  </si>
  <si>
    <t>Celkové příjmy</t>
  </si>
  <si>
    <t>Stanovené prodejní ceny</t>
  </si>
  <si>
    <t>Projekty po termínu dokončení</t>
  </si>
  <si>
    <t>Projekty ve fázi výstavby</t>
  </si>
  <si>
    <t>Prodejní ceny u konk. projektů</t>
  </si>
  <si>
    <r>
      <t>Makroekonomická analýza ceny za 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 xml:space="preserve"> bytu</t>
    </r>
  </si>
  <si>
    <r>
      <t>Průměrná cena za 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 xml:space="preserve"> bytu u konk. projektů</t>
    </r>
  </si>
  <si>
    <t>Cena za přidružené prostory</t>
  </si>
  <si>
    <t>Projekt Nad Volyňkou</t>
  </si>
  <si>
    <t>Projekt Vivus Uhříněves II.</t>
  </si>
  <si>
    <t>Projekt U Starého mlýna</t>
  </si>
  <si>
    <t>Ceny sklepů</t>
  </si>
  <si>
    <t>Počet prodaných subjektů při výstavbě</t>
  </si>
  <si>
    <t xml:space="preserve">Bytový dům B </t>
  </si>
  <si>
    <t>Celkový příjem za 5. období</t>
  </si>
  <si>
    <t>Celkový příjem za 6. období</t>
  </si>
  <si>
    <t>Celkový příjem za 7. období</t>
  </si>
  <si>
    <t>Celkový příjem za 8. období</t>
  </si>
  <si>
    <t>Doba trvání (měs.)</t>
  </si>
  <si>
    <t xml:space="preserve">Zvýšení nákladů o </t>
  </si>
  <si>
    <t>Celkový příjem za 9. období</t>
  </si>
  <si>
    <t>Cash-flow</t>
  </si>
  <si>
    <t>Cash flow, realistický pohled</t>
  </si>
  <si>
    <t>Cash flow, pesimistický pohled</t>
  </si>
  <si>
    <t>Cash flow - zjištění maximálních investičních nákladů při dodržení 7 % vnitřního výnosového procenta</t>
  </si>
  <si>
    <t>Pesimistický scénář prodeje</t>
  </si>
  <si>
    <r>
      <t>Plocha balkonu nebo terasy (m</t>
    </r>
    <r>
      <rPr>
        <vertAlign val="superscript"/>
        <sz val="11"/>
        <color theme="1"/>
        <rFont val="Times New Roman"/>
        <family val="1"/>
        <charset val="238"/>
      </rPr>
      <t>2</t>
    </r>
    <r>
      <rPr>
        <sz val="11"/>
        <color theme="1"/>
        <rFont val="Times New Roman"/>
        <family val="1"/>
        <charset val="238"/>
      </rPr>
      <t>)</t>
    </r>
  </si>
  <si>
    <t>CELKEM ZA STAVBU: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</si>
</sst>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#,##0\ &quot;Kč&quot;"/>
    <numFmt numFmtId="166" formatCode="#,##0\ _K_č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u/>
      <sz val="11"/>
      <color theme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303134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sz val="11"/>
      <color rgb="FF303134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1"/>
      <color theme="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1" fillId="0" borderId="0" applyFont="0" applyFill="0" applyBorder="0" applyAlignment="0" applyProtection="0"/>
  </cellStyleXfs>
  <cellXfs count="287">
    <xf numFmtId="0" fontId="0" fillId="0" borderId="0" xfId="0"/>
    <xf numFmtId="0" fontId="2" fillId="0" borderId="0" xfId="0" applyFont="1"/>
    <xf numFmtId="0" fontId="3" fillId="0" borderId="0" xfId="1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2" fontId="5" fillId="0" borderId="7" xfId="0" applyNumberFormat="1" applyFont="1" applyBorder="1"/>
    <xf numFmtId="0" fontId="5" fillId="0" borderId="7" xfId="0" applyFont="1" applyBorder="1" applyAlignment="1">
      <alignment horizontal="center" vertical="center"/>
    </xf>
    <xf numFmtId="3" fontId="5" fillId="0" borderId="7" xfId="0" applyNumberFormat="1" applyFont="1" applyBorder="1"/>
    <xf numFmtId="3" fontId="5" fillId="0" borderId="0" xfId="0" applyNumberFormat="1" applyFont="1"/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/>
    <xf numFmtId="2" fontId="5" fillId="0" borderId="12" xfId="0" applyNumberFormat="1" applyFont="1" applyBorder="1"/>
    <xf numFmtId="0" fontId="5" fillId="0" borderId="12" xfId="0" applyFont="1" applyBorder="1" applyAlignment="1">
      <alignment horizontal="center" vertical="center"/>
    </xf>
    <xf numFmtId="3" fontId="5" fillId="0" borderId="12" xfId="0" applyNumberFormat="1" applyFont="1" applyBorder="1"/>
    <xf numFmtId="0" fontId="9" fillId="0" borderId="0" xfId="0" applyFont="1"/>
    <xf numFmtId="0" fontId="5" fillId="0" borderId="7" xfId="0" applyFont="1" applyBorder="1"/>
    <xf numFmtId="0" fontId="5" fillId="0" borderId="1" xfId="0" applyFont="1" applyBorder="1"/>
    <xf numFmtId="0" fontId="5" fillId="0" borderId="12" xfId="0" applyFont="1" applyBorder="1"/>
    <xf numFmtId="2" fontId="5" fillId="0" borderId="7" xfId="0" applyNumberFormat="1" applyFont="1" applyBorder="1" applyAlignment="1">
      <alignment horizontal="right"/>
    </xf>
    <xf numFmtId="0" fontId="10" fillId="0" borderId="0" xfId="1" applyFont="1"/>
    <xf numFmtId="2" fontId="5" fillId="0" borderId="1" xfId="0" applyNumberFormat="1" applyFont="1" applyBorder="1" applyAlignment="1">
      <alignment horizontal="right"/>
    </xf>
    <xf numFmtId="2" fontId="5" fillId="0" borderId="12" xfId="0" applyNumberFormat="1" applyFont="1" applyBorder="1" applyAlignment="1">
      <alignment horizontal="right"/>
    </xf>
    <xf numFmtId="3" fontId="5" fillId="0" borderId="0" xfId="0" applyNumberFormat="1" applyFont="1" applyBorder="1"/>
    <xf numFmtId="3" fontId="5" fillId="0" borderId="14" xfId="0" applyNumberFormat="1" applyFont="1" applyBorder="1"/>
    <xf numFmtId="3" fontId="5" fillId="0" borderId="15" xfId="0" applyNumberFormat="1" applyFont="1" applyBorder="1"/>
    <xf numFmtId="0" fontId="5" fillId="0" borderId="0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right" vertical="center"/>
    </xf>
    <xf numFmtId="2" fontId="5" fillId="0" borderId="7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3" fontId="5" fillId="0" borderId="17" xfId="0" applyNumberFormat="1" applyFont="1" applyBorder="1"/>
    <xf numFmtId="3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0" fontId="1" fillId="0" borderId="0" xfId="0" applyFont="1" applyFill="1" applyBorder="1"/>
    <xf numFmtId="165" fontId="0" fillId="0" borderId="0" xfId="0" applyNumberFormat="1"/>
    <xf numFmtId="0" fontId="0" fillId="0" borderId="0" xfId="0" applyBorder="1"/>
    <xf numFmtId="0" fontId="0" fillId="0" borderId="0" xfId="0" applyBorder="1" applyAlignment="1"/>
    <xf numFmtId="0" fontId="12" fillId="0" borderId="0" xfId="0" applyFont="1" applyAlignment="1">
      <alignment horizontal="center" vertical="center" wrapText="1"/>
    </xf>
    <xf numFmtId="3" fontId="5" fillId="0" borderId="14" xfId="0" applyNumberFormat="1" applyFont="1" applyBorder="1" applyAlignment="1">
      <alignment horizontal="right" vertical="center"/>
    </xf>
    <xf numFmtId="3" fontId="5" fillId="0" borderId="17" xfId="0" applyNumberFormat="1" applyFont="1" applyFill="1" applyBorder="1" applyAlignment="1">
      <alignment horizontal="right" vertical="center"/>
    </xf>
    <xf numFmtId="3" fontId="5" fillId="0" borderId="32" xfId="0" applyNumberFormat="1" applyFont="1" applyFill="1" applyBorder="1" applyAlignment="1">
      <alignment horizontal="right" vertical="center"/>
    </xf>
    <xf numFmtId="0" fontId="13" fillId="2" borderId="0" xfId="0" applyFont="1" applyFill="1" applyBorder="1" applyAlignment="1"/>
    <xf numFmtId="0" fontId="0" fillId="0" borderId="5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2" fontId="5" fillId="0" borderId="7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5" fillId="0" borderId="7" xfId="0" applyNumberFormat="1" applyFont="1" applyBorder="1" applyAlignment="1">
      <alignment vertical="center"/>
    </xf>
    <xf numFmtId="3" fontId="5" fillId="0" borderId="0" xfId="0" applyNumberFormat="1" applyFont="1" applyAlignment="1">
      <alignment vertical="center"/>
    </xf>
    <xf numFmtId="3" fontId="5" fillId="0" borderId="14" xfId="0" applyNumberFormat="1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5" fillId="0" borderId="17" xfId="0" applyNumberFormat="1" applyFont="1" applyBorder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5" fillId="0" borderId="0" xfId="0" applyNumberFormat="1" applyFont="1" applyBorder="1" applyAlignment="1">
      <alignment vertical="center"/>
    </xf>
    <xf numFmtId="2" fontId="5" fillId="0" borderId="12" xfId="0" applyNumberFormat="1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3" fontId="5" fillId="0" borderId="12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14" fillId="0" borderId="1" xfId="0" applyFont="1" applyBorder="1" applyAlignment="1">
      <alignment horizontal="left" vertical="center" wrapText="1"/>
    </xf>
    <xf numFmtId="17" fontId="5" fillId="0" borderId="7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lef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0" fontId="7" fillId="0" borderId="7" xfId="0" applyFont="1" applyBorder="1"/>
    <xf numFmtId="3" fontId="7" fillId="0" borderId="7" xfId="0" applyNumberFormat="1" applyFont="1" applyBorder="1"/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3" fontId="7" fillId="0" borderId="7" xfId="0" applyNumberFormat="1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5" fillId="0" borderId="18" xfId="0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left" vertical="center"/>
    </xf>
    <xf numFmtId="3" fontId="5" fillId="0" borderId="29" xfId="0" applyNumberFormat="1" applyFont="1" applyFill="1" applyBorder="1" applyAlignment="1">
      <alignment horizontal="right" vertical="center"/>
    </xf>
    <xf numFmtId="4" fontId="5" fillId="0" borderId="7" xfId="0" applyNumberFormat="1" applyFont="1" applyBorder="1" applyAlignment="1">
      <alignment horizontal="right" vertical="center"/>
    </xf>
    <xf numFmtId="1" fontId="5" fillId="0" borderId="7" xfId="0" applyNumberFormat="1" applyFont="1" applyBorder="1" applyAlignment="1">
      <alignment vertical="center"/>
    </xf>
    <xf numFmtId="4" fontId="5" fillId="0" borderId="7" xfId="0" applyNumberFormat="1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1" fontId="5" fillId="0" borderId="1" xfId="0" applyNumberFormat="1" applyFont="1" applyBorder="1" applyAlignment="1">
      <alignment vertical="center"/>
    </xf>
    <xf numFmtId="1" fontId="5" fillId="0" borderId="1" xfId="0" applyNumberFormat="1" applyFont="1" applyBorder="1" applyAlignment="1">
      <alignment horizontal="right" vertical="center"/>
    </xf>
    <xf numFmtId="4" fontId="5" fillId="0" borderId="12" xfId="0" applyNumberFormat="1" applyFont="1" applyBorder="1" applyAlignment="1">
      <alignment vertical="center"/>
    </xf>
    <xf numFmtId="1" fontId="5" fillId="0" borderId="12" xfId="0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4" fontId="7" fillId="0" borderId="7" xfId="0" applyNumberFormat="1" applyFont="1" applyBorder="1" applyAlignment="1">
      <alignment vertical="center"/>
    </xf>
    <xf numFmtId="1" fontId="7" fillId="0" borderId="7" xfId="0" applyNumberFormat="1" applyFont="1" applyBorder="1" applyAlignment="1">
      <alignment vertical="center"/>
    </xf>
    <xf numFmtId="2" fontId="5" fillId="0" borderId="7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left" vertical="center" wrapText="1"/>
    </xf>
    <xf numFmtId="3" fontId="0" fillId="0" borderId="25" xfId="0" applyNumberFormat="1" applyBorder="1" applyAlignment="1">
      <alignment vertical="center"/>
    </xf>
    <xf numFmtId="0" fontId="0" fillId="0" borderId="20" xfId="0" applyBorder="1" applyAlignment="1">
      <alignment vertical="center"/>
    </xf>
    <xf numFmtId="2" fontId="5" fillId="0" borderId="1" xfId="0" applyNumberFormat="1" applyFont="1" applyBorder="1" applyAlignment="1">
      <alignment horizontal="right" vertical="center"/>
    </xf>
    <xf numFmtId="3" fontId="0" fillId="0" borderId="24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3" fontId="5" fillId="0" borderId="29" xfId="0" applyNumberFormat="1" applyFont="1" applyBorder="1" applyAlignment="1">
      <alignment horizontal="right" vertical="center"/>
    </xf>
    <xf numFmtId="0" fontId="5" fillId="0" borderId="33" xfId="0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right" vertical="center"/>
    </xf>
    <xf numFmtId="0" fontId="5" fillId="0" borderId="2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3" fontId="0" fillId="0" borderId="20" xfId="0" applyNumberFormat="1" applyFont="1" applyBorder="1" applyAlignment="1">
      <alignment vertical="center"/>
    </xf>
    <xf numFmtId="3" fontId="0" fillId="0" borderId="12" xfId="0" applyNumberFormat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22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3" fontId="0" fillId="0" borderId="7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vertical="center"/>
    </xf>
    <xf numFmtId="2" fontId="7" fillId="0" borderId="7" xfId="0" applyNumberFormat="1" applyFont="1" applyBorder="1" applyAlignment="1">
      <alignment vertical="center"/>
    </xf>
    <xf numFmtId="0" fontId="7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66" fontId="5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165" fontId="5" fillId="0" borderId="0" xfId="0" applyNumberFormat="1" applyFont="1"/>
    <xf numFmtId="0" fontId="5" fillId="0" borderId="0" xfId="0" applyFont="1" applyBorder="1" applyAlignment="1"/>
    <xf numFmtId="10" fontId="5" fillId="0" borderId="0" xfId="0" applyNumberFormat="1" applyFont="1"/>
    <xf numFmtId="9" fontId="5" fillId="0" borderId="0" xfId="0" applyNumberFormat="1" applyFont="1" applyBorder="1"/>
    <xf numFmtId="0" fontId="5" fillId="0" borderId="0" xfId="0" applyFont="1" applyBorder="1"/>
    <xf numFmtId="9" fontId="5" fillId="0" borderId="0" xfId="0" applyNumberFormat="1" applyFont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164" fontId="5" fillId="0" borderId="0" xfId="0" applyNumberFormat="1" applyFont="1"/>
    <xf numFmtId="10" fontId="7" fillId="0" borderId="0" xfId="0" applyNumberFormat="1" applyFont="1"/>
    <xf numFmtId="164" fontId="7" fillId="0" borderId="0" xfId="0" applyNumberFormat="1" applyFont="1"/>
    <xf numFmtId="0" fontId="7" fillId="0" borderId="30" xfId="0" applyFont="1" applyFill="1" applyBorder="1"/>
    <xf numFmtId="0" fontId="7" fillId="0" borderId="0" xfId="0" applyFont="1" applyFill="1" applyBorder="1"/>
    <xf numFmtId="0" fontId="7" fillId="0" borderId="38" xfId="0" applyFont="1" applyBorder="1" applyAlignment="1">
      <alignment horizontal="center" vertical="center"/>
    </xf>
    <xf numFmtId="0" fontId="7" fillId="5" borderId="11" xfId="0" applyFont="1" applyFill="1" applyBorder="1" applyAlignment="1">
      <alignment vertical="center"/>
    </xf>
    <xf numFmtId="164" fontId="7" fillId="5" borderId="31" xfId="0" applyNumberFormat="1" applyFont="1" applyFill="1" applyBorder="1" applyAlignment="1">
      <alignment vertical="center"/>
    </xf>
    <xf numFmtId="164" fontId="7" fillId="5" borderId="9" xfId="0" applyNumberFormat="1" applyFont="1" applyFill="1" applyBorder="1" applyAlignment="1">
      <alignment vertical="center"/>
    </xf>
    <xf numFmtId="164" fontId="7" fillId="5" borderId="10" xfId="0" applyNumberFormat="1" applyFont="1" applyFill="1" applyBorder="1" applyAlignment="1">
      <alignment vertical="center"/>
    </xf>
    <xf numFmtId="164" fontId="5" fillId="0" borderId="22" xfId="2" applyNumberFormat="1" applyFont="1" applyBorder="1" applyAlignment="1">
      <alignment vertical="center"/>
    </xf>
    <xf numFmtId="164" fontId="5" fillId="0" borderId="7" xfId="2" applyNumberFormat="1" applyFont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164" fontId="7" fillId="4" borderId="2" xfId="2" applyNumberFormat="1" applyFont="1" applyFill="1" applyBorder="1" applyAlignment="1">
      <alignment vertical="center"/>
    </xf>
    <xf numFmtId="164" fontId="7" fillId="4" borderId="21" xfId="2" applyNumberFormat="1" applyFont="1" applyFill="1" applyBorder="1" applyAlignment="1">
      <alignment vertical="center"/>
    </xf>
    <xf numFmtId="164" fontId="7" fillId="4" borderId="10" xfId="2" applyNumberFormat="1" applyFont="1" applyFill="1" applyBorder="1" applyAlignment="1">
      <alignment vertical="center"/>
    </xf>
    <xf numFmtId="164" fontId="5" fillId="0" borderId="23" xfId="2" applyNumberFormat="1" applyFont="1" applyBorder="1" applyAlignment="1">
      <alignment vertical="center"/>
    </xf>
    <xf numFmtId="164" fontId="5" fillId="0" borderId="1" xfId="2" applyNumberFormat="1" applyFont="1" applyBorder="1" applyAlignment="1">
      <alignment vertical="center"/>
    </xf>
    <xf numFmtId="164" fontId="7" fillId="0" borderId="1" xfId="2" applyNumberFormat="1" applyFont="1" applyBorder="1" applyAlignment="1">
      <alignment vertical="center"/>
    </xf>
    <xf numFmtId="14" fontId="5" fillId="0" borderId="13" xfId="0" applyNumberFormat="1" applyFont="1" applyBorder="1" applyAlignment="1">
      <alignment horizontal="center" vertical="center"/>
    </xf>
    <xf numFmtId="14" fontId="5" fillId="0" borderId="29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164" fontId="7" fillId="0" borderId="28" xfId="2" applyNumberFormat="1" applyFont="1" applyBorder="1" applyAlignment="1">
      <alignment vertical="center"/>
    </xf>
    <xf numFmtId="164" fontId="7" fillId="0" borderId="16" xfId="2" applyNumberFormat="1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0" borderId="0" xfId="0" applyFont="1"/>
    <xf numFmtId="0" fontId="5" fillId="0" borderId="39" xfId="0" applyFont="1" applyBorder="1"/>
    <xf numFmtId="0" fontId="5" fillId="0" borderId="0" xfId="0" applyFont="1" applyAlignment="1">
      <alignment horizontal="center"/>
    </xf>
    <xf numFmtId="1" fontId="5" fillId="0" borderId="1" xfId="0" applyNumberFormat="1" applyFont="1" applyBorder="1" applyAlignment="1">
      <alignment horizontal="center"/>
    </xf>
    <xf numFmtId="165" fontId="7" fillId="0" borderId="0" xfId="0" applyNumberFormat="1" applyFont="1" applyBorder="1" applyAlignment="1">
      <alignment horizontal="center"/>
    </xf>
    <xf numFmtId="165" fontId="5" fillId="0" borderId="0" xfId="0" applyNumberFormat="1" applyFont="1" applyAlignment="1"/>
    <xf numFmtId="0" fontId="5" fillId="0" borderId="0" xfId="0" applyFont="1" applyFill="1"/>
    <xf numFmtId="0" fontId="7" fillId="0" borderId="1" xfId="0" applyFont="1" applyBorder="1"/>
    <xf numFmtId="0" fontId="7" fillId="0" borderId="39" xfId="0" applyFont="1" applyBorder="1"/>
    <xf numFmtId="9" fontId="5" fillId="0" borderId="0" xfId="0" applyNumberFormat="1" applyFont="1" applyFill="1"/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3" fontId="7" fillId="0" borderId="17" xfId="0" applyNumberFormat="1" applyFont="1" applyBorder="1" applyAlignment="1">
      <alignment vertical="center"/>
    </xf>
    <xf numFmtId="0" fontId="5" fillId="0" borderId="35" xfId="0" applyFont="1" applyBorder="1"/>
    <xf numFmtId="0" fontId="5" fillId="0" borderId="36" xfId="0" applyFont="1" applyBorder="1"/>
    <xf numFmtId="0" fontId="17" fillId="0" borderId="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5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7" xfId="0" applyFont="1" applyFill="1" applyBorder="1"/>
    <xf numFmtId="4" fontId="5" fillId="2" borderId="7" xfId="0" applyNumberFormat="1" applyFont="1" applyFill="1" applyBorder="1"/>
    <xf numFmtId="1" fontId="5" fillId="2" borderId="7" xfId="0" applyNumberFormat="1" applyFont="1" applyFill="1" applyBorder="1"/>
    <xf numFmtId="4" fontId="5" fillId="2" borderId="14" xfId="0" applyNumberFormat="1" applyFont="1" applyFill="1" applyBorder="1"/>
    <xf numFmtId="0" fontId="18" fillId="2" borderId="1" xfId="0" applyFont="1" applyFill="1" applyBorder="1"/>
    <xf numFmtId="4" fontId="18" fillId="2" borderId="1" xfId="0" applyNumberFormat="1" applyFont="1" applyFill="1" applyBorder="1"/>
    <xf numFmtId="1" fontId="18" fillId="2" borderId="1" xfId="0" applyNumberFormat="1" applyFont="1" applyFill="1" applyBorder="1"/>
    <xf numFmtId="0" fontId="5" fillId="2" borderId="1" xfId="0" applyFont="1" applyFill="1" applyBorder="1"/>
    <xf numFmtId="4" fontId="5" fillId="2" borderId="1" xfId="0" applyNumberFormat="1" applyFont="1" applyFill="1" applyBorder="1"/>
    <xf numFmtId="1" fontId="5" fillId="2" borderId="1" xfId="0" applyNumberFormat="1" applyFont="1" applyFill="1" applyBorder="1"/>
    <xf numFmtId="0" fontId="5" fillId="2" borderId="12" xfId="0" applyFont="1" applyFill="1" applyBorder="1"/>
    <xf numFmtId="4" fontId="5" fillId="2" borderId="12" xfId="0" applyNumberFormat="1" applyFont="1" applyFill="1" applyBorder="1"/>
    <xf numFmtId="1" fontId="5" fillId="2" borderId="12" xfId="0" applyNumberFormat="1" applyFont="1" applyFill="1" applyBorder="1"/>
    <xf numFmtId="4" fontId="5" fillId="2" borderId="15" xfId="0" applyNumberFormat="1" applyFont="1" applyFill="1" applyBorder="1"/>
    <xf numFmtId="0" fontId="7" fillId="2" borderId="7" xfId="0" applyFont="1" applyFill="1" applyBorder="1"/>
    <xf numFmtId="4" fontId="7" fillId="2" borderId="7" xfId="0" applyNumberFormat="1" applyFont="1" applyFill="1" applyBorder="1"/>
    <xf numFmtId="0" fontId="5" fillId="2" borderId="0" xfId="0" applyFont="1" applyFill="1" applyBorder="1"/>
    <xf numFmtId="0" fontId="5" fillId="2" borderId="5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7" fillId="0" borderId="0" xfId="0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0" fontId="5" fillId="0" borderId="29" xfId="0" applyFont="1" applyBorder="1" applyAlignment="1">
      <alignment horizontal="left" vertical="center"/>
    </xf>
    <xf numFmtId="165" fontId="5" fillId="0" borderId="29" xfId="0" applyNumberFormat="1" applyFont="1" applyBorder="1" applyAlignment="1">
      <alignment horizontal="right" vertical="center"/>
    </xf>
    <xf numFmtId="1" fontId="5" fillId="0" borderId="29" xfId="0" applyNumberFormat="1" applyFont="1" applyBorder="1" applyAlignment="1">
      <alignment horizontal="center" vertical="center"/>
    </xf>
    <xf numFmtId="165" fontId="19" fillId="3" borderId="1" xfId="0" applyNumberFormat="1" applyFont="1" applyFill="1" applyBorder="1" applyAlignment="1">
      <alignment horizontal="center"/>
    </xf>
    <xf numFmtId="165" fontId="19" fillId="0" borderId="1" xfId="0" applyNumberFormat="1" applyFont="1" applyBorder="1" applyAlignment="1">
      <alignment horizontal="center"/>
    </xf>
    <xf numFmtId="1" fontId="19" fillId="0" borderId="1" xfId="0" applyNumberFormat="1" applyFont="1" applyBorder="1" applyAlignment="1">
      <alignment horizontal="center"/>
    </xf>
    <xf numFmtId="165" fontId="19" fillId="2" borderId="1" xfId="0" applyNumberFormat="1" applyFont="1" applyFill="1" applyBorder="1" applyAlignment="1">
      <alignment horizontal="center"/>
    </xf>
    <xf numFmtId="165" fontId="19" fillId="0" borderId="1" xfId="0" applyNumberFormat="1" applyFont="1" applyFill="1" applyBorder="1" applyAlignment="1">
      <alignment horizontal="center"/>
    </xf>
    <xf numFmtId="165" fontId="19" fillId="0" borderId="17" xfId="0" applyNumberFormat="1" applyFont="1" applyBorder="1" applyAlignment="1">
      <alignment horizontal="center"/>
    </xf>
    <xf numFmtId="165" fontId="19" fillId="3" borderId="17" xfId="0" applyNumberFormat="1" applyFont="1" applyFill="1" applyBorder="1" applyAlignment="1">
      <alignment horizontal="center"/>
    </xf>
    <xf numFmtId="165" fontId="19" fillId="0" borderId="17" xfId="0" applyNumberFormat="1" applyFont="1" applyFill="1" applyBorder="1" applyAlignment="1">
      <alignment horizontal="center"/>
    </xf>
    <xf numFmtId="0" fontId="7" fillId="0" borderId="40" xfId="0" applyFont="1" applyBorder="1" applyAlignment="1">
      <alignment horizontal="center"/>
    </xf>
    <xf numFmtId="165" fontId="19" fillId="0" borderId="40" xfId="0" applyNumberFormat="1" applyFont="1" applyBorder="1" applyAlignment="1">
      <alignment horizontal="center"/>
    </xf>
    <xf numFmtId="165" fontId="19" fillId="3" borderId="40" xfId="0" applyNumberFormat="1" applyFont="1" applyFill="1" applyBorder="1" applyAlignment="1">
      <alignment horizontal="center"/>
    </xf>
    <xf numFmtId="165" fontId="19" fillId="0" borderId="40" xfId="0" applyNumberFormat="1" applyFont="1" applyFill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165" fontId="19" fillId="2" borderId="17" xfId="0" applyNumberFormat="1" applyFont="1" applyFill="1" applyBorder="1" applyAlignment="1">
      <alignment horizontal="center"/>
    </xf>
    <xf numFmtId="1" fontId="5" fillId="0" borderId="17" xfId="0" applyNumberFormat="1" applyFont="1" applyBorder="1" applyAlignment="1">
      <alignment horizontal="center"/>
    </xf>
    <xf numFmtId="1" fontId="5" fillId="0" borderId="40" xfId="0" applyNumberFormat="1" applyFont="1" applyBorder="1" applyAlignment="1">
      <alignment horizontal="center"/>
    </xf>
    <xf numFmtId="0" fontId="5" fillId="0" borderId="40" xfId="0" applyFont="1" applyFill="1" applyBorder="1" applyAlignment="1">
      <alignment horizontal="center"/>
    </xf>
    <xf numFmtId="0" fontId="7" fillId="0" borderId="7" xfId="0" applyFont="1" applyBorder="1" applyAlignment="1">
      <alignment horizontal="left"/>
    </xf>
    <xf numFmtId="165" fontId="7" fillId="0" borderId="7" xfId="0" applyNumberFormat="1" applyFont="1" applyBorder="1" applyAlignment="1">
      <alignment horizontal="right"/>
    </xf>
    <xf numFmtId="0" fontId="5" fillId="0" borderId="7" xfId="0" applyFont="1" applyBorder="1" applyAlignment="1">
      <alignment horizontal="center"/>
    </xf>
    <xf numFmtId="0" fontId="7" fillId="0" borderId="0" xfId="0" applyFont="1" applyBorder="1"/>
    <xf numFmtId="0" fontId="5" fillId="0" borderId="29" xfId="0" applyFont="1" applyBorder="1" applyAlignment="1">
      <alignment horizontal="center" vertical="center"/>
    </xf>
    <xf numFmtId="165" fontId="19" fillId="0" borderId="29" xfId="0" applyNumberFormat="1" applyFont="1" applyBorder="1" applyAlignment="1">
      <alignment horizontal="center"/>
    </xf>
    <xf numFmtId="165" fontId="19" fillId="0" borderId="32" xfId="0" applyNumberFormat="1" applyFont="1" applyBorder="1" applyAlignment="1">
      <alignment horizontal="center"/>
    </xf>
    <xf numFmtId="165" fontId="19" fillId="0" borderId="43" xfId="0" applyNumberFormat="1" applyFont="1" applyBorder="1" applyAlignment="1">
      <alignment horizontal="center"/>
    </xf>
    <xf numFmtId="165" fontId="19" fillId="3" borderId="32" xfId="0" applyNumberFormat="1" applyFont="1" applyFill="1" applyBorder="1" applyAlignment="1">
      <alignment horizontal="center"/>
    </xf>
    <xf numFmtId="165" fontId="19" fillId="3" borderId="43" xfId="0" applyNumberFormat="1" applyFont="1" applyFill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7" fillId="0" borderId="5" xfId="0" applyFont="1" applyFill="1" applyBorder="1" applyAlignment="1">
      <alignment horizontal="left" vertical="center"/>
    </xf>
    <xf numFmtId="0" fontId="0" fillId="0" borderId="46" xfId="0" applyBorder="1"/>
    <xf numFmtId="0" fontId="7" fillId="0" borderId="5" xfId="0" applyFont="1" applyFill="1" applyBorder="1" applyAlignment="1">
      <alignment horizontal="center" vertical="center"/>
    </xf>
    <xf numFmtId="165" fontId="16" fillId="0" borderId="5" xfId="0" applyNumberFormat="1" applyFont="1" applyBorder="1" applyAlignment="1">
      <alignment horizontal="center"/>
    </xf>
    <xf numFmtId="165" fontId="16" fillId="0" borderId="18" xfId="0" applyNumberFormat="1" applyFont="1" applyBorder="1" applyAlignment="1">
      <alignment horizontal="center"/>
    </xf>
    <xf numFmtId="165" fontId="16" fillId="0" borderId="47" xfId="0" applyNumberFormat="1" applyFont="1" applyBorder="1" applyAlignment="1">
      <alignment horizontal="center"/>
    </xf>
    <xf numFmtId="0" fontId="0" fillId="0" borderId="48" xfId="0" applyBorder="1"/>
    <xf numFmtId="10" fontId="5" fillId="0" borderId="39" xfId="0" applyNumberFormat="1" applyFont="1" applyBorder="1"/>
    <xf numFmtId="0" fontId="0" fillId="0" borderId="0" xfId="0" applyBorder="1" applyAlignment="1">
      <alignment horizontal="center"/>
    </xf>
    <xf numFmtId="0" fontId="7" fillId="0" borderId="17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20" fillId="0" borderId="41" xfId="0" applyFont="1" applyFill="1" applyBorder="1" applyAlignment="1">
      <alignment horizontal="center"/>
    </xf>
    <xf numFmtId="0" fontId="20" fillId="0" borderId="42" xfId="0" applyFont="1" applyFill="1" applyBorder="1" applyAlignment="1">
      <alignment horizontal="center"/>
    </xf>
    <xf numFmtId="0" fontId="20" fillId="0" borderId="40" xfId="0" applyFont="1" applyFill="1" applyBorder="1" applyAlignment="1">
      <alignment horizontal="center"/>
    </xf>
    <xf numFmtId="0" fontId="7" fillId="0" borderId="17" xfId="0" applyFont="1" applyBorder="1" applyAlignment="1">
      <alignment horizontal="left"/>
    </xf>
    <xf numFmtId="0" fontId="7" fillId="0" borderId="33" xfId="0" applyFont="1" applyBorder="1" applyAlignment="1">
      <alignment horizontal="left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165" fontId="7" fillId="0" borderId="14" xfId="0" applyNumberFormat="1" applyFont="1" applyBorder="1" applyAlignment="1">
      <alignment horizontal="center"/>
    </xf>
    <xf numFmtId="165" fontId="7" fillId="0" borderId="39" xfId="0" applyNumberFormat="1" applyFont="1" applyBorder="1" applyAlignment="1">
      <alignment horizontal="center"/>
    </xf>
    <xf numFmtId="165" fontId="7" fillId="0" borderId="44" xfId="0" applyNumberFormat="1" applyFont="1" applyBorder="1" applyAlignment="1">
      <alignment horizontal="center"/>
    </xf>
    <xf numFmtId="165" fontId="7" fillId="0" borderId="45" xfId="0" applyNumberFormat="1" applyFont="1" applyBorder="1" applyAlignment="1">
      <alignment horizontal="center"/>
    </xf>
    <xf numFmtId="165" fontId="7" fillId="0" borderId="22" xfId="0" applyNumberFormat="1" applyFont="1" applyBorder="1" applyAlignment="1">
      <alignment horizontal="center"/>
    </xf>
    <xf numFmtId="3" fontId="7" fillId="0" borderId="17" xfId="0" applyNumberFormat="1" applyFont="1" applyBorder="1" applyAlignment="1">
      <alignment horizontal="center" vertical="center"/>
    </xf>
    <xf numFmtId="3" fontId="7" fillId="0" borderId="23" xfId="0" applyNumberFormat="1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7" xfId="0" applyFont="1" applyBorder="1" applyAlignment="1">
      <alignment horizontal="center"/>
    </xf>
  </cellXfs>
  <cellStyles count="3">
    <cellStyle name="Hypertextový odkaz" xfId="1" builtinId="8"/>
    <cellStyle name="Měna" xfId="2" builtinId="4"/>
    <cellStyle name="Normální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P37"/>
  <sheetViews>
    <sheetView tabSelected="1" zoomScale="80" zoomScaleNormal="80" workbookViewId="0">
      <pane xSplit="2" topLeftCell="C1" activePane="topRight" state="frozen"/>
      <selection activeCell="B1" sqref="B1"/>
      <selection pane="topRight" activeCell="B35" sqref="B35"/>
    </sheetView>
  </sheetViews>
  <sheetFormatPr defaultRowHeight="14.4" x14ac:dyDescent="0.3"/>
  <cols>
    <col min="2" max="2" width="34.21875" customWidth="1"/>
    <col min="3" max="3" width="17.5546875" customWidth="1"/>
    <col min="4" max="4" width="18" customWidth="1"/>
    <col min="5" max="52" width="2.33203125" customWidth="1"/>
    <col min="53" max="53" width="14.109375" customWidth="1"/>
    <col min="54" max="54" width="17.44140625" customWidth="1"/>
    <col min="55" max="55" width="15.44140625" customWidth="1"/>
    <col min="56" max="56" width="14.5546875" customWidth="1"/>
    <col min="57" max="57" width="15.33203125" customWidth="1"/>
    <col min="58" max="58" width="16.109375" customWidth="1"/>
    <col min="59" max="60" width="14.33203125" customWidth="1"/>
    <col min="61" max="61" width="15" customWidth="1"/>
    <col min="62" max="62" width="14.33203125" customWidth="1"/>
    <col min="63" max="63" width="15" customWidth="1"/>
    <col min="64" max="64" width="14.109375" customWidth="1"/>
    <col min="65" max="65" width="14.5546875" customWidth="1"/>
    <col min="66" max="120" width="10.5546875" customWidth="1"/>
  </cols>
  <sheetData>
    <row r="1" spans="2:146" ht="22.8" x14ac:dyDescent="0.4">
      <c r="B1" s="17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140"/>
      <c r="AV1" s="140"/>
      <c r="AW1" s="4"/>
      <c r="AX1" s="4"/>
      <c r="AY1" s="4"/>
      <c r="AZ1" s="140"/>
      <c r="BA1" s="140"/>
    </row>
    <row r="2" spans="2:146" ht="16.95" customHeight="1" x14ac:dyDescent="0.3">
      <c r="B2" s="264" t="s">
        <v>153</v>
      </c>
      <c r="C2" s="265"/>
      <c r="D2" s="265"/>
      <c r="E2" s="266" t="s">
        <v>152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 t="s">
        <v>151</v>
      </c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  <c r="AM2" s="267"/>
      <c r="AN2" s="267"/>
      <c r="AO2" s="267"/>
      <c r="AP2" s="267"/>
      <c r="AQ2" s="267"/>
      <c r="AR2" s="267"/>
      <c r="AS2" s="267"/>
      <c r="AT2" s="267" t="s">
        <v>150</v>
      </c>
      <c r="AU2" s="267"/>
      <c r="AV2" s="267"/>
      <c r="AW2" s="267"/>
      <c r="AX2" s="267"/>
      <c r="AY2" s="267"/>
      <c r="AZ2" s="268"/>
      <c r="BA2" s="176"/>
    </row>
    <row r="3" spans="2:146" ht="16.95" customHeight="1" x14ac:dyDescent="0.3">
      <c r="B3" s="269" t="s">
        <v>205</v>
      </c>
      <c r="C3" s="270"/>
      <c r="D3" s="270"/>
      <c r="E3" s="271">
        <v>2016</v>
      </c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  <c r="Q3" s="272">
        <v>2017</v>
      </c>
      <c r="R3" s="272"/>
      <c r="S3" s="272"/>
      <c r="T3" s="272"/>
      <c r="U3" s="272"/>
      <c r="V3" s="272"/>
      <c r="W3" s="272"/>
      <c r="X3" s="272"/>
      <c r="Y3" s="272"/>
      <c r="Z3" s="272"/>
      <c r="AA3" s="272"/>
      <c r="AB3" s="272"/>
      <c r="AC3" s="272">
        <v>2018</v>
      </c>
      <c r="AD3" s="272"/>
      <c r="AE3" s="272"/>
      <c r="AF3" s="272"/>
      <c r="AG3" s="272"/>
      <c r="AH3" s="272"/>
      <c r="AI3" s="272"/>
      <c r="AJ3" s="272"/>
      <c r="AK3" s="272"/>
      <c r="AL3" s="272"/>
      <c r="AM3" s="272"/>
      <c r="AN3" s="272"/>
      <c r="AO3" s="272">
        <v>2019</v>
      </c>
      <c r="AP3" s="272"/>
      <c r="AQ3" s="272"/>
      <c r="AR3" s="272"/>
      <c r="AS3" s="272"/>
      <c r="AT3" s="272"/>
      <c r="AU3" s="272"/>
      <c r="AV3" s="272"/>
      <c r="AW3" s="272"/>
      <c r="AX3" s="272"/>
      <c r="AY3" s="272"/>
      <c r="AZ3" s="273"/>
      <c r="BA3" s="143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263"/>
      <c r="DB3" s="263"/>
      <c r="DC3" s="263"/>
      <c r="DD3" s="263"/>
      <c r="DE3" s="263"/>
      <c r="DF3" s="263"/>
      <c r="DG3" s="263"/>
      <c r="DH3" s="263"/>
      <c r="DI3" s="263"/>
      <c r="DJ3" s="263"/>
      <c r="DK3" s="263"/>
      <c r="DL3" s="263"/>
      <c r="DM3" s="263"/>
      <c r="DN3" s="263"/>
      <c r="DO3" s="263"/>
      <c r="DP3" s="263"/>
      <c r="DQ3" s="263"/>
      <c r="DR3" s="263"/>
      <c r="DS3" s="263"/>
      <c r="DT3" s="263"/>
      <c r="DU3" s="263"/>
      <c r="DV3" s="263"/>
      <c r="DW3" s="263"/>
      <c r="DX3" s="263"/>
      <c r="DY3" s="263"/>
      <c r="DZ3" s="263"/>
      <c r="EA3" s="263"/>
      <c r="EB3" s="263"/>
      <c r="EC3" s="263"/>
      <c r="ED3" s="263"/>
      <c r="EE3" s="263"/>
      <c r="EF3" s="263"/>
      <c r="EG3" s="263"/>
      <c r="EH3" s="263"/>
      <c r="EI3" s="263"/>
      <c r="EJ3" s="263"/>
      <c r="EK3" s="263"/>
      <c r="EL3" s="263"/>
      <c r="EM3" s="263"/>
      <c r="EN3" s="263"/>
      <c r="EO3" s="263"/>
      <c r="EP3" s="263"/>
    </row>
    <row r="4" spans="2:146" ht="16.95" customHeight="1" x14ac:dyDescent="0.3">
      <c r="B4" s="173" t="s">
        <v>62</v>
      </c>
      <c r="C4" s="173" t="s">
        <v>126</v>
      </c>
      <c r="D4" s="173" t="s">
        <v>210</v>
      </c>
      <c r="E4" s="197">
        <v>1</v>
      </c>
      <c r="F4" s="197">
        <v>2</v>
      </c>
      <c r="G4" s="197">
        <v>3</v>
      </c>
      <c r="H4" s="197">
        <v>4</v>
      </c>
      <c r="I4" s="197">
        <v>5</v>
      </c>
      <c r="J4" s="86">
        <v>6</v>
      </c>
      <c r="K4" s="234">
        <v>7</v>
      </c>
      <c r="L4" s="197">
        <v>8</v>
      </c>
      <c r="M4" s="197">
        <v>9</v>
      </c>
      <c r="N4" s="197">
        <v>10</v>
      </c>
      <c r="O4" s="197">
        <v>11</v>
      </c>
      <c r="P4" s="86">
        <v>12</v>
      </c>
      <c r="Q4" s="234">
        <v>1</v>
      </c>
      <c r="R4" s="197">
        <v>2</v>
      </c>
      <c r="S4" s="197">
        <v>3</v>
      </c>
      <c r="T4" s="197">
        <v>4</v>
      </c>
      <c r="U4" s="197">
        <v>5</v>
      </c>
      <c r="V4" s="86">
        <v>6</v>
      </c>
      <c r="W4" s="234">
        <v>7</v>
      </c>
      <c r="X4" s="197">
        <v>8</v>
      </c>
      <c r="Y4" s="197">
        <v>9</v>
      </c>
      <c r="Z4" s="197">
        <v>10</v>
      </c>
      <c r="AA4" s="197">
        <v>11</v>
      </c>
      <c r="AB4" s="86">
        <v>12</v>
      </c>
      <c r="AC4" s="234">
        <v>1</v>
      </c>
      <c r="AD4" s="197">
        <v>2</v>
      </c>
      <c r="AE4" s="197">
        <v>3</v>
      </c>
      <c r="AF4" s="197">
        <v>4</v>
      </c>
      <c r="AG4" s="197">
        <v>5</v>
      </c>
      <c r="AH4" s="86">
        <v>6</v>
      </c>
      <c r="AI4" s="234">
        <v>7</v>
      </c>
      <c r="AJ4" s="197">
        <v>8</v>
      </c>
      <c r="AK4" s="197">
        <v>9</v>
      </c>
      <c r="AL4" s="197">
        <v>10</v>
      </c>
      <c r="AM4" s="197">
        <v>11</v>
      </c>
      <c r="AN4" s="86">
        <v>12</v>
      </c>
      <c r="AO4" s="234">
        <v>1</v>
      </c>
      <c r="AP4" s="197">
        <v>2</v>
      </c>
      <c r="AQ4" s="197">
        <v>3</v>
      </c>
      <c r="AR4" s="197">
        <v>4</v>
      </c>
      <c r="AS4" s="197">
        <v>5</v>
      </c>
      <c r="AT4" s="86">
        <v>6</v>
      </c>
      <c r="AU4" s="234">
        <v>7</v>
      </c>
      <c r="AV4" s="197">
        <v>8</v>
      </c>
      <c r="AW4" s="197">
        <v>9</v>
      </c>
      <c r="AX4" s="197">
        <v>10</v>
      </c>
      <c r="AY4" s="197">
        <v>11</v>
      </c>
      <c r="AZ4" s="197">
        <v>12</v>
      </c>
      <c r="BA4" s="143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</row>
    <row r="5" spans="2:146" ht="16.95" customHeight="1" x14ac:dyDescent="0.3">
      <c r="B5" s="193" t="s">
        <v>149</v>
      </c>
      <c r="C5" s="194">
        <v>8880000</v>
      </c>
      <c r="D5" s="195">
        <v>1</v>
      </c>
      <c r="E5" s="226">
        <f>C5</f>
        <v>8880000</v>
      </c>
      <c r="F5" s="227"/>
      <c r="G5" s="227"/>
      <c r="H5" s="227"/>
      <c r="I5" s="227"/>
      <c r="J5" s="231"/>
      <c r="K5" s="235"/>
      <c r="L5" s="227"/>
      <c r="M5" s="227"/>
      <c r="N5" s="227"/>
      <c r="O5" s="227"/>
      <c r="P5" s="231"/>
      <c r="Q5" s="235"/>
      <c r="R5" s="227"/>
      <c r="S5" s="227"/>
      <c r="T5" s="227"/>
      <c r="U5" s="227"/>
      <c r="V5" s="231"/>
      <c r="W5" s="235"/>
      <c r="X5" s="227"/>
      <c r="Y5" s="227"/>
      <c r="Z5" s="227"/>
      <c r="AA5" s="227"/>
      <c r="AB5" s="231"/>
      <c r="AC5" s="235"/>
      <c r="AD5" s="227"/>
      <c r="AE5" s="227"/>
      <c r="AF5" s="227"/>
      <c r="AG5" s="227"/>
      <c r="AH5" s="231"/>
      <c r="AI5" s="235"/>
      <c r="AJ5" s="227"/>
      <c r="AK5" s="227"/>
      <c r="AL5" s="227"/>
      <c r="AM5" s="227"/>
      <c r="AN5" s="231"/>
      <c r="AO5" s="235"/>
      <c r="AP5" s="227"/>
      <c r="AQ5" s="227"/>
      <c r="AR5" s="227"/>
      <c r="AS5" s="227"/>
      <c r="AT5" s="239"/>
      <c r="AU5" s="238"/>
      <c r="AV5" s="9"/>
      <c r="AW5" s="9"/>
      <c r="AX5" s="9"/>
      <c r="AY5" s="9"/>
      <c r="AZ5" s="9"/>
      <c r="BA5" s="143"/>
      <c r="BB5" s="41"/>
      <c r="BC5" s="41"/>
      <c r="BD5" s="41"/>
      <c r="BE5" s="41"/>
      <c r="BF5" s="41"/>
      <c r="BG5" s="41"/>
      <c r="BH5" s="41"/>
      <c r="BI5" s="41"/>
      <c r="BJ5" s="41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</row>
    <row r="6" spans="2:146" ht="16.95" customHeight="1" x14ac:dyDescent="0.3">
      <c r="B6" s="193" t="s">
        <v>148</v>
      </c>
      <c r="C6" s="194">
        <v>27513</v>
      </c>
      <c r="D6" s="195">
        <v>1</v>
      </c>
      <c r="E6" s="227"/>
      <c r="F6" s="226">
        <f>C6</f>
        <v>27513</v>
      </c>
      <c r="G6" s="227"/>
      <c r="H6" s="227"/>
      <c r="I6" s="227"/>
      <c r="J6" s="231"/>
      <c r="K6" s="235"/>
      <c r="L6" s="227"/>
      <c r="M6" s="227"/>
      <c r="N6" s="227"/>
      <c r="O6" s="227"/>
      <c r="P6" s="231"/>
      <c r="Q6" s="235"/>
      <c r="R6" s="227"/>
      <c r="S6" s="227"/>
      <c r="T6" s="227"/>
      <c r="U6" s="227"/>
      <c r="V6" s="231"/>
      <c r="W6" s="235"/>
      <c r="X6" s="227"/>
      <c r="Y6" s="227"/>
      <c r="Z6" s="227"/>
      <c r="AA6" s="227"/>
      <c r="AB6" s="231"/>
      <c r="AC6" s="235"/>
      <c r="AD6" s="227"/>
      <c r="AE6" s="227"/>
      <c r="AF6" s="227"/>
      <c r="AG6" s="227"/>
      <c r="AH6" s="231"/>
      <c r="AI6" s="235"/>
      <c r="AJ6" s="227"/>
      <c r="AK6" s="227"/>
      <c r="AL6" s="227"/>
      <c r="AM6" s="227"/>
      <c r="AN6" s="231"/>
      <c r="AO6" s="235"/>
      <c r="AP6" s="227"/>
      <c r="AQ6" s="227"/>
      <c r="AR6" s="227"/>
      <c r="AS6" s="227"/>
      <c r="AT6" s="239"/>
      <c r="AU6" s="238"/>
      <c r="AV6" s="9"/>
      <c r="AW6" s="9"/>
      <c r="AX6" s="9"/>
      <c r="AY6" s="9"/>
      <c r="AZ6" s="9"/>
      <c r="BA6" s="143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</row>
    <row r="7" spans="2:146" ht="16.95" customHeight="1" x14ac:dyDescent="0.3">
      <c r="B7" s="193" t="s">
        <v>147</v>
      </c>
      <c r="C7" s="194">
        <v>357664</v>
      </c>
      <c r="D7" s="195">
        <v>2</v>
      </c>
      <c r="E7" s="227"/>
      <c r="F7" s="227"/>
      <c r="G7" s="226">
        <f>C7/2</f>
        <v>178832</v>
      </c>
      <c r="H7" s="226">
        <f>C7/2</f>
        <v>178832</v>
      </c>
      <c r="I7" s="227"/>
      <c r="J7" s="231"/>
      <c r="K7" s="235"/>
      <c r="L7" s="227"/>
      <c r="M7" s="227"/>
      <c r="N7" s="227"/>
      <c r="O7" s="227"/>
      <c r="P7" s="231"/>
      <c r="Q7" s="235"/>
      <c r="R7" s="227"/>
      <c r="S7" s="227"/>
      <c r="T7" s="227"/>
      <c r="U7" s="227"/>
      <c r="V7" s="231"/>
      <c r="W7" s="235"/>
      <c r="X7" s="227"/>
      <c r="Y7" s="227"/>
      <c r="Z7" s="227"/>
      <c r="AA7" s="227"/>
      <c r="AB7" s="231"/>
      <c r="AC7" s="235"/>
      <c r="AD7" s="227"/>
      <c r="AE7" s="227"/>
      <c r="AF7" s="227"/>
      <c r="AG7" s="227"/>
      <c r="AH7" s="231"/>
      <c r="AI7" s="235"/>
      <c r="AJ7" s="227"/>
      <c r="AK7" s="227"/>
      <c r="AL7" s="227"/>
      <c r="AM7" s="227"/>
      <c r="AN7" s="231"/>
      <c r="AO7" s="235"/>
      <c r="AP7" s="227"/>
      <c r="AQ7" s="227"/>
      <c r="AR7" s="227"/>
      <c r="AS7" s="227"/>
      <c r="AT7" s="239"/>
      <c r="AU7" s="238"/>
      <c r="AV7" s="9"/>
      <c r="AW7" s="9"/>
      <c r="AX7" s="9"/>
      <c r="AY7" s="9"/>
      <c r="AZ7" s="9"/>
      <c r="BA7" s="143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</row>
    <row r="8" spans="2:146" ht="16.95" customHeight="1" x14ac:dyDescent="0.3">
      <c r="B8" s="193" t="s">
        <v>146</v>
      </c>
      <c r="C8" s="194">
        <v>412689</v>
      </c>
      <c r="D8" s="195">
        <v>4</v>
      </c>
      <c r="E8" s="227"/>
      <c r="F8" s="227"/>
      <c r="G8" s="227"/>
      <c r="H8" s="227"/>
      <c r="I8" s="226">
        <f>C8/4</f>
        <v>103172.25</v>
      </c>
      <c r="J8" s="232">
        <f>C8/4</f>
        <v>103172.25</v>
      </c>
      <c r="K8" s="236">
        <f>C8/4</f>
        <v>103172.25</v>
      </c>
      <c r="L8" s="226">
        <f>C8/4</f>
        <v>103172.25</v>
      </c>
      <c r="M8" s="227"/>
      <c r="N8" s="227"/>
      <c r="O8" s="227"/>
      <c r="P8" s="231"/>
      <c r="Q8" s="235"/>
      <c r="R8" s="227"/>
      <c r="S8" s="227"/>
      <c r="T8" s="227"/>
      <c r="U8" s="227"/>
      <c r="V8" s="231"/>
      <c r="W8" s="235"/>
      <c r="X8" s="227"/>
      <c r="Y8" s="227"/>
      <c r="Z8" s="227"/>
      <c r="AA8" s="227"/>
      <c r="AB8" s="231"/>
      <c r="AC8" s="235"/>
      <c r="AD8" s="227"/>
      <c r="AE8" s="227"/>
      <c r="AF8" s="227"/>
      <c r="AG8" s="227"/>
      <c r="AH8" s="231"/>
      <c r="AI8" s="235"/>
      <c r="AJ8" s="227"/>
      <c r="AK8" s="227"/>
      <c r="AL8" s="227"/>
      <c r="AM8" s="227"/>
      <c r="AN8" s="231"/>
      <c r="AO8" s="235"/>
      <c r="AP8" s="227"/>
      <c r="AQ8" s="227"/>
      <c r="AR8" s="227"/>
      <c r="AS8" s="227"/>
      <c r="AT8" s="239"/>
      <c r="AU8" s="238"/>
      <c r="AV8" s="9"/>
      <c r="AW8" s="9"/>
      <c r="AX8" s="9"/>
      <c r="AY8" s="9"/>
      <c r="AZ8" s="9"/>
      <c r="BA8" s="143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</row>
    <row r="9" spans="2:146" ht="16.95" customHeight="1" x14ac:dyDescent="0.3">
      <c r="B9" s="193" t="s">
        <v>145</v>
      </c>
      <c r="C9" s="194">
        <v>0</v>
      </c>
      <c r="D9" s="195">
        <v>3</v>
      </c>
      <c r="E9" s="227"/>
      <c r="F9" s="227"/>
      <c r="G9" s="227"/>
      <c r="H9" s="227"/>
      <c r="I9" s="227"/>
      <c r="J9" s="231"/>
      <c r="K9" s="235"/>
      <c r="L9" s="227"/>
      <c r="M9" s="226">
        <f>$C$11/3</f>
        <v>0</v>
      </c>
      <c r="N9" s="226">
        <f>$C$11/3</f>
        <v>0</v>
      </c>
      <c r="O9" s="226">
        <f>$C$11/3</f>
        <v>0</v>
      </c>
      <c r="P9" s="231"/>
      <c r="Q9" s="235"/>
      <c r="R9" s="227"/>
      <c r="S9" s="227"/>
      <c r="T9" s="227"/>
      <c r="U9" s="227"/>
      <c r="V9" s="231"/>
      <c r="W9" s="235"/>
      <c r="X9" s="227"/>
      <c r="Y9" s="227"/>
      <c r="Z9" s="227"/>
      <c r="AA9" s="227"/>
      <c r="AB9" s="231"/>
      <c r="AC9" s="235"/>
      <c r="AD9" s="227"/>
      <c r="AE9" s="227"/>
      <c r="AF9" s="227"/>
      <c r="AG9" s="227"/>
      <c r="AH9" s="231"/>
      <c r="AI9" s="235"/>
      <c r="AJ9" s="227"/>
      <c r="AK9" s="227"/>
      <c r="AL9" s="227"/>
      <c r="AM9" s="227"/>
      <c r="AN9" s="231"/>
      <c r="AO9" s="235"/>
      <c r="AP9" s="227"/>
      <c r="AQ9" s="227"/>
      <c r="AR9" s="227"/>
      <c r="AS9" s="227"/>
      <c r="AT9" s="239"/>
      <c r="AU9" s="238"/>
      <c r="AV9" s="9"/>
      <c r="AW9" s="9"/>
      <c r="AX9" s="9"/>
      <c r="AY9" s="9"/>
      <c r="AZ9" s="9"/>
      <c r="BA9" s="143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</row>
    <row r="10" spans="2:146" ht="16.95" customHeight="1" x14ac:dyDescent="0.3">
      <c r="B10" s="193" t="s">
        <v>144</v>
      </c>
      <c r="C10" s="194">
        <v>605227</v>
      </c>
      <c r="D10" s="195">
        <v>4</v>
      </c>
      <c r="E10" s="228"/>
      <c r="F10" s="227"/>
      <c r="G10" s="227"/>
      <c r="H10" s="227"/>
      <c r="I10" s="227"/>
      <c r="J10" s="231"/>
      <c r="K10" s="235"/>
      <c r="L10" s="227"/>
      <c r="M10" s="227"/>
      <c r="N10" s="227"/>
      <c r="O10" s="227"/>
      <c r="P10" s="232">
        <f>$C$10/4</f>
        <v>151306.75</v>
      </c>
      <c r="Q10" s="236">
        <f>$C$10/4</f>
        <v>151306.75</v>
      </c>
      <c r="R10" s="226">
        <f>$C$10/4</f>
        <v>151306.75</v>
      </c>
      <c r="S10" s="226">
        <f>$C$10/4</f>
        <v>151306.75</v>
      </c>
      <c r="T10" s="227"/>
      <c r="U10" s="227"/>
      <c r="V10" s="231"/>
      <c r="W10" s="235"/>
      <c r="X10" s="227"/>
      <c r="Y10" s="227"/>
      <c r="Z10" s="227"/>
      <c r="AA10" s="227"/>
      <c r="AB10" s="231"/>
      <c r="AC10" s="235"/>
      <c r="AD10" s="227"/>
      <c r="AE10" s="227"/>
      <c r="AF10" s="227"/>
      <c r="AG10" s="227"/>
      <c r="AH10" s="231"/>
      <c r="AI10" s="235"/>
      <c r="AJ10" s="227"/>
      <c r="AK10" s="227"/>
      <c r="AL10" s="227"/>
      <c r="AM10" s="227"/>
      <c r="AN10" s="231"/>
      <c r="AO10" s="235"/>
      <c r="AP10" s="227"/>
      <c r="AQ10" s="227"/>
      <c r="AR10" s="227"/>
      <c r="AS10" s="227"/>
      <c r="AT10" s="239"/>
      <c r="AU10" s="238"/>
      <c r="AV10" s="9"/>
      <c r="AW10" s="9"/>
      <c r="AX10" s="9"/>
      <c r="AY10" s="9"/>
      <c r="AZ10" s="9"/>
      <c r="BA10" s="143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</row>
    <row r="11" spans="2:146" ht="16.95" customHeight="1" x14ac:dyDescent="0.3">
      <c r="B11" s="193" t="s">
        <v>143</v>
      </c>
      <c r="C11" s="194">
        <v>0</v>
      </c>
      <c r="D11" s="195">
        <v>3</v>
      </c>
      <c r="E11" s="228"/>
      <c r="F11" s="227"/>
      <c r="G11" s="227"/>
      <c r="H11" s="227"/>
      <c r="I11" s="227"/>
      <c r="J11" s="231"/>
      <c r="K11" s="235"/>
      <c r="L11" s="227"/>
      <c r="M11" s="227"/>
      <c r="N11" s="227"/>
      <c r="O11" s="227"/>
      <c r="P11" s="231"/>
      <c r="Q11" s="235"/>
      <c r="R11" s="227"/>
      <c r="S11" s="227"/>
      <c r="T11" s="226">
        <f>$C$11/3</f>
        <v>0</v>
      </c>
      <c r="U11" s="226">
        <f>$C$11/3</f>
        <v>0</v>
      </c>
      <c r="V11" s="232">
        <f>$C$11/3</f>
        <v>0</v>
      </c>
      <c r="W11" s="235"/>
      <c r="X11" s="227"/>
      <c r="Y11" s="227"/>
      <c r="Z11" s="227"/>
      <c r="AA11" s="227"/>
      <c r="AB11" s="231"/>
      <c r="AC11" s="235"/>
      <c r="AD11" s="227"/>
      <c r="AE11" s="227"/>
      <c r="AF11" s="227"/>
      <c r="AG11" s="227"/>
      <c r="AH11" s="231"/>
      <c r="AI11" s="235"/>
      <c r="AJ11" s="227"/>
      <c r="AK11" s="227"/>
      <c r="AL11" s="227"/>
      <c r="AM11" s="227"/>
      <c r="AN11" s="231"/>
      <c r="AO11" s="235"/>
      <c r="AP11" s="227"/>
      <c r="AQ11" s="227"/>
      <c r="AR11" s="227"/>
      <c r="AS11" s="227"/>
      <c r="AT11" s="239"/>
      <c r="AU11" s="238"/>
      <c r="AV11" s="9"/>
      <c r="AW11" s="9"/>
      <c r="AX11" s="9"/>
      <c r="AY11" s="9"/>
      <c r="AZ11" s="9"/>
      <c r="BA11" s="143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</row>
    <row r="12" spans="2:146" ht="16.95" customHeight="1" x14ac:dyDescent="0.3">
      <c r="B12" s="193" t="s">
        <v>142</v>
      </c>
      <c r="C12" s="194">
        <v>770352</v>
      </c>
      <c r="D12" s="195">
        <v>5</v>
      </c>
      <c r="E12" s="227"/>
      <c r="F12" s="227"/>
      <c r="G12" s="227"/>
      <c r="H12" s="227"/>
      <c r="I12" s="227"/>
      <c r="J12" s="231"/>
      <c r="K12" s="235"/>
      <c r="L12" s="227"/>
      <c r="M12" s="227"/>
      <c r="N12" s="227"/>
      <c r="O12" s="227"/>
      <c r="P12" s="231"/>
      <c r="Q12" s="235"/>
      <c r="R12" s="227"/>
      <c r="S12" s="227"/>
      <c r="T12" s="227"/>
      <c r="U12" s="227"/>
      <c r="V12" s="231"/>
      <c r="W12" s="236">
        <f>$C$12/5</f>
        <v>154070.39999999999</v>
      </c>
      <c r="X12" s="226">
        <f>$C$12/5</f>
        <v>154070.39999999999</v>
      </c>
      <c r="Y12" s="226">
        <f>$C$12/5</f>
        <v>154070.39999999999</v>
      </c>
      <c r="Z12" s="226">
        <f>$C$12/5</f>
        <v>154070.39999999999</v>
      </c>
      <c r="AA12" s="226">
        <f>$C$12/5</f>
        <v>154070.39999999999</v>
      </c>
      <c r="AB12" s="231"/>
      <c r="AC12" s="235"/>
      <c r="AD12" s="227"/>
      <c r="AE12" s="227"/>
      <c r="AF12" s="227"/>
      <c r="AG12" s="227"/>
      <c r="AH12" s="231"/>
      <c r="AI12" s="235"/>
      <c r="AJ12" s="227"/>
      <c r="AK12" s="227"/>
      <c r="AL12" s="227"/>
      <c r="AM12" s="227"/>
      <c r="AN12" s="231"/>
      <c r="AO12" s="235"/>
      <c r="AP12" s="227"/>
      <c r="AQ12" s="227"/>
      <c r="AR12" s="227"/>
      <c r="AS12" s="227"/>
      <c r="AT12" s="239"/>
      <c r="AU12" s="238"/>
      <c r="AV12" s="9"/>
      <c r="AW12" s="9"/>
      <c r="AX12" s="9"/>
      <c r="AY12" s="9"/>
      <c r="AZ12" s="9"/>
      <c r="BA12" s="143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</row>
    <row r="13" spans="2:146" ht="16.95" customHeight="1" x14ac:dyDescent="0.3">
      <c r="B13" s="193" t="s">
        <v>141</v>
      </c>
      <c r="C13" s="194">
        <v>192588</v>
      </c>
      <c r="D13" s="195">
        <v>4</v>
      </c>
      <c r="E13" s="227"/>
      <c r="F13" s="227"/>
      <c r="G13" s="227"/>
      <c r="H13" s="227"/>
      <c r="I13" s="227"/>
      <c r="J13" s="231"/>
      <c r="K13" s="235"/>
      <c r="L13" s="227"/>
      <c r="M13" s="227"/>
      <c r="N13" s="227"/>
      <c r="O13" s="227"/>
      <c r="P13" s="231"/>
      <c r="Q13" s="235"/>
      <c r="R13" s="227"/>
      <c r="S13" s="227"/>
      <c r="T13" s="227"/>
      <c r="U13" s="227"/>
      <c r="V13" s="231"/>
      <c r="W13" s="235"/>
      <c r="X13" s="227"/>
      <c r="Y13" s="227"/>
      <c r="Z13" s="227"/>
      <c r="AA13" s="227"/>
      <c r="AB13" s="232">
        <f>$C$13/4</f>
        <v>48147</v>
      </c>
      <c r="AC13" s="236">
        <f>$C$13/4</f>
        <v>48147</v>
      </c>
      <c r="AD13" s="226">
        <f>$C$13/4</f>
        <v>48147</v>
      </c>
      <c r="AE13" s="226">
        <f>$C$13/4</f>
        <v>48147</v>
      </c>
      <c r="AF13" s="227"/>
      <c r="AG13" s="227"/>
      <c r="AH13" s="231"/>
      <c r="AI13" s="235"/>
      <c r="AJ13" s="227"/>
      <c r="AK13" s="227"/>
      <c r="AL13" s="227"/>
      <c r="AM13" s="227"/>
      <c r="AN13" s="231"/>
      <c r="AO13" s="235"/>
      <c r="AP13" s="227"/>
      <c r="AQ13" s="227"/>
      <c r="AR13" s="227"/>
      <c r="AS13" s="227"/>
      <c r="AT13" s="239"/>
      <c r="AU13" s="238"/>
      <c r="AV13" s="9"/>
      <c r="AW13" s="9"/>
      <c r="AX13" s="9"/>
      <c r="AY13" s="9"/>
      <c r="AZ13" s="9"/>
      <c r="BA13" s="143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</row>
    <row r="14" spans="2:146" ht="16.95" customHeight="1" x14ac:dyDescent="0.3">
      <c r="B14" s="193" t="s">
        <v>140</v>
      </c>
      <c r="C14" s="194">
        <v>27513</v>
      </c>
      <c r="D14" s="195">
        <v>2</v>
      </c>
      <c r="E14" s="227"/>
      <c r="F14" s="227"/>
      <c r="G14" s="227"/>
      <c r="H14" s="227"/>
      <c r="I14" s="227"/>
      <c r="J14" s="231"/>
      <c r="K14" s="235"/>
      <c r="L14" s="227"/>
      <c r="M14" s="227"/>
      <c r="N14" s="227"/>
      <c r="O14" s="227"/>
      <c r="P14" s="231"/>
      <c r="Q14" s="235"/>
      <c r="R14" s="227"/>
      <c r="S14" s="227"/>
      <c r="T14" s="227"/>
      <c r="U14" s="227"/>
      <c r="V14" s="231"/>
      <c r="W14" s="235"/>
      <c r="X14" s="227"/>
      <c r="Y14" s="227"/>
      <c r="Z14" s="227"/>
      <c r="AA14" s="227"/>
      <c r="AB14" s="231"/>
      <c r="AC14" s="235"/>
      <c r="AD14" s="227"/>
      <c r="AE14" s="227"/>
      <c r="AF14" s="226">
        <f>$C$14/2</f>
        <v>13756.5</v>
      </c>
      <c r="AG14" s="226">
        <f>$C$14/2</f>
        <v>13756.5</v>
      </c>
      <c r="AH14" s="231"/>
      <c r="AI14" s="235"/>
      <c r="AJ14" s="227"/>
      <c r="AK14" s="227"/>
      <c r="AL14" s="227"/>
      <c r="AM14" s="227"/>
      <c r="AN14" s="231"/>
      <c r="AO14" s="235"/>
      <c r="AP14" s="227"/>
      <c r="AQ14" s="227"/>
      <c r="AR14" s="227"/>
      <c r="AS14" s="227"/>
      <c r="AT14" s="239"/>
      <c r="AU14" s="238"/>
      <c r="AV14" s="9"/>
      <c r="AW14" s="9"/>
      <c r="AX14" s="9"/>
      <c r="AY14" s="9"/>
      <c r="AZ14" s="9"/>
      <c r="BA14" s="143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</row>
    <row r="15" spans="2:146" ht="16.95" customHeight="1" x14ac:dyDescent="0.3">
      <c r="B15" s="193" t="s">
        <v>177</v>
      </c>
      <c r="C15" s="194">
        <v>26444783</v>
      </c>
      <c r="D15" s="196">
        <v>12</v>
      </c>
      <c r="E15" s="227"/>
      <c r="F15" s="227"/>
      <c r="G15" s="227"/>
      <c r="H15" s="227"/>
      <c r="I15" s="227"/>
      <c r="J15" s="231"/>
      <c r="K15" s="235"/>
      <c r="L15" s="227"/>
      <c r="M15" s="227"/>
      <c r="N15" s="227"/>
      <c r="O15" s="227"/>
      <c r="P15" s="231"/>
      <c r="Q15" s="235"/>
      <c r="R15" s="227"/>
      <c r="S15" s="227"/>
      <c r="T15" s="227"/>
      <c r="U15" s="227"/>
      <c r="V15" s="231"/>
      <c r="W15" s="235"/>
      <c r="X15" s="227"/>
      <c r="Y15" s="227"/>
      <c r="Z15" s="227"/>
      <c r="AA15" s="227"/>
      <c r="AB15" s="231"/>
      <c r="AC15" s="235"/>
      <c r="AD15" s="227"/>
      <c r="AE15" s="227"/>
      <c r="AF15" s="227"/>
      <c r="AG15" s="227"/>
      <c r="AH15" s="232">
        <f t="shared" ref="AH15:AS15" si="0">$C$15/12</f>
        <v>2203731.9166666665</v>
      </c>
      <c r="AI15" s="236">
        <f t="shared" si="0"/>
        <v>2203731.9166666665</v>
      </c>
      <c r="AJ15" s="226">
        <f t="shared" si="0"/>
        <v>2203731.9166666665</v>
      </c>
      <c r="AK15" s="226">
        <f t="shared" si="0"/>
        <v>2203731.9166666665</v>
      </c>
      <c r="AL15" s="226">
        <f t="shared" si="0"/>
        <v>2203731.9166666665</v>
      </c>
      <c r="AM15" s="226">
        <f t="shared" si="0"/>
        <v>2203731.9166666665</v>
      </c>
      <c r="AN15" s="232">
        <f t="shared" si="0"/>
        <v>2203731.9166666665</v>
      </c>
      <c r="AO15" s="236">
        <f t="shared" si="0"/>
        <v>2203731.9166666665</v>
      </c>
      <c r="AP15" s="226">
        <f t="shared" si="0"/>
        <v>2203731.9166666665</v>
      </c>
      <c r="AQ15" s="226">
        <f t="shared" si="0"/>
        <v>2203731.9166666665</v>
      </c>
      <c r="AR15" s="226">
        <f t="shared" si="0"/>
        <v>2203731.9166666665</v>
      </c>
      <c r="AS15" s="226">
        <f t="shared" si="0"/>
        <v>2203731.9166666665</v>
      </c>
      <c r="AT15" s="241"/>
      <c r="AU15" s="242"/>
      <c r="AV15" s="9"/>
      <c r="AW15" s="9"/>
      <c r="AX15" s="9"/>
      <c r="AY15" s="9"/>
      <c r="AZ15" s="9"/>
      <c r="BA15" s="143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</row>
    <row r="16" spans="2:146" ht="16.95" customHeight="1" x14ac:dyDescent="0.3">
      <c r="B16" s="193" t="s">
        <v>139</v>
      </c>
      <c r="C16" s="194">
        <v>17586</v>
      </c>
      <c r="D16" s="196">
        <v>1</v>
      </c>
      <c r="E16" s="227"/>
      <c r="F16" s="227"/>
      <c r="G16" s="227"/>
      <c r="H16" s="227"/>
      <c r="I16" s="227"/>
      <c r="J16" s="231"/>
      <c r="K16" s="235"/>
      <c r="L16" s="227"/>
      <c r="M16" s="227"/>
      <c r="N16" s="227"/>
      <c r="O16" s="227"/>
      <c r="P16" s="231"/>
      <c r="Q16" s="235"/>
      <c r="R16" s="227"/>
      <c r="S16" s="227"/>
      <c r="T16" s="227"/>
      <c r="U16" s="227"/>
      <c r="V16" s="231"/>
      <c r="W16" s="235"/>
      <c r="X16" s="227"/>
      <c r="Y16" s="227"/>
      <c r="Z16" s="227"/>
      <c r="AA16" s="227"/>
      <c r="AB16" s="231"/>
      <c r="AC16" s="235"/>
      <c r="AD16" s="227"/>
      <c r="AE16" s="227"/>
      <c r="AF16" s="227"/>
      <c r="AG16" s="227"/>
      <c r="AH16" s="232">
        <f>$C$16/1</f>
        <v>17586</v>
      </c>
      <c r="AI16" s="235"/>
      <c r="AJ16" s="227"/>
      <c r="AK16" s="227"/>
      <c r="AL16" s="227"/>
      <c r="AM16" s="227"/>
      <c r="AN16" s="239"/>
      <c r="AO16" s="238"/>
      <c r="AP16" s="227"/>
      <c r="AQ16" s="9"/>
      <c r="AR16" s="9"/>
      <c r="AS16" s="9"/>
      <c r="AT16" s="239"/>
      <c r="AU16" s="238"/>
      <c r="AV16" s="9"/>
      <c r="AW16" s="9"/>
      <c r="AX16" s="9"/>
      <c r="AY16" s="9"/>
      <c r="AZ16" s="9"/>
      <c r="BA16" s="143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</row>
    <row r="17" spans="2:146" ht="16.95" customHeight="1" x14ac:dyDescent="0.3">
      <c r="B17" s="193" t="s">
        <v>138</v>
      </c>
      <c r="C17" s="194">
        <v>115431</v>
      </c>
      <c r="D17" s="196">
        <v>1</v>
      </c>
      <c r="E17" s="227"/>
      <c r="F17" s="227"/>
      <c r="G17" s="227"/>
      <c r="H17" s="227"/>
      <c r="I17" s="227"/>
      <c r="J17" s="231"/>
      <c r="K17" s="235"/>
      <c r="L17" s="227"/>
      <c r="M17" s="227"/>
      <c r="N17" s="227"/>
      <c r="O17" s="227"/>
      <c r="P17" s="231"/>
      <c r="Q17" s="235"/>
      <c r="R17" s="227"/>
      <c r="S17" s="227"/>
      <c r="T17" s="227"/>
      <c r="U17" s="227"/>
      <c r="V17" s="231"/>
      <c r="W17" s="235"/>
      <c r="X17" s="227"/>
      <c r="Y17" s="227"/>
      <c r="Z17" s="227"/>
      <c r="AA17" s="227"/>
      <c r="AB17" s="231"/>
      <c r="AC17" s="235"/>
      <c r="AD17" s="227"/>
      <c r="AE17" s="227"/>
      <c r="AF17" s="227"/>
      <c r="AG17" s="227"/>
      <c r="AH17" s="232">
        <f>$C$17/1</f>
        <v>115431</v>
      </c>
      <c r="AI17" s="235"/>
      <c r="AJ17" s="229"/>
      <c r="AK17" s="229"/>
      <c r="AL17" s="227"/>
      <c r="AM17" s="229"/>
      <c r="AN17" s="239"/>
      <c r="AO17" s="238"/>
      <c r="AP17" s="229"/>
      <c r="AQ17" s="9"/>
      <c r="AR17" s="9"/>
      <c r="AS17" s="9"/>
      <c r="AT17" s="239"/>
      <c r="AU17" s="238"/>
      <c r="AV17" s="9"/>
      <c r="AW17" s="9"/>
      <c r="AX17" s="9"/>
      <c r="AY17" s="9"/>
      <c r="AZ17" s="9"/>
      <c r="BA17" s="143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</row>
    <row r="18" spans="2:146" ht="16.95" customHeight="1" x14ac:dyDescent="0.3">
      <c r="B18" s="193" t="s">
        <v>137</v>
      </c>
      <c r="C18" s="194">
        <v>15963</v>
      </c>
      <c r="D18" s="196">
        <v>1</v>
      </c>
      <c r="E18" s="227"/>
      <c r="F18" s="227"/>
      <c r="G18" s="227"/>
      <c r="H18" s="227"/>
      <c r="I18" s="227"/>
      <c r="J18" s="231"/>
      <c r="K18" s="235"/>
      <c r="L18" s="227"/>
      <c r="M18" s="227"/>
      <c r="N18" s="227"/>
      <c r="O18" s="227"/>
      <c r="P18" s="231"/>
      <c r="Q18" s="235"/>
      <c r="R18" s="227"/>
      <c r="S18" s="227"/>
      <c r="T18" s="227"/>
      <c r="U18" s="227"/>
      <c r="V18" s="231"/>
      <c r="W18" s="235"/>
      <c r="X18" s="227"/>
      <c r="Y18" s="227"/>
      <c r="Z18" s="227"/>
      <c r="AA18" s="227"/>
      <c r="AB18" s="231"/>
      <c r="AC18" s="235"/>
      <c r="AD18" s="227"/>
      <c r="AE18" s="227"/>
      <c r="AF18" s="227"/>
      <c r="AG18" s="227"/>
      <c r="AH18" s="232">
        <f>$C$18/1</f>
        <v>15963</v>
      </c>
      <c r="AI18" s="235"/>
      <c r="AJ18" s="227"/>
      <c r="AK18" s="227"/>
      <c r="AL18" s="227"/>
      <c r="AM18" s="227"/>
      <c r="AN18" s="240"/>
      <c r="AO18" s="235"/>
      <c r="AP18" s="227"/>
      <c r="AQ18" s="9"/>
      <c r="AR18" s="9"/>
      <c r="AS18" s="9"/>
      <c r="AT18" s="239"/>
      <c r="AU18" s="238"/>
      <c r="AV18" s="9"/>
      <c r="AW18" s="9"/>
      <c r="AX18" s="9"/>
      <c r="AY18" s="9"/>
      <c r="AZ18" s="9"/>
      <c r="BA18" s="143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</row>
    <row r="19" spans="2:146" ht="16.95" customHeight="1" x14ac:dyDescent="0.3">
      <c r="B19" s="193" t="s">
        <v>136</v>
      </c>
      <c r="C19" s="194">
        <v>10500</v>
      </c>
      <c r="D19" s="196">
        <v>1</v>
      </c>
      <c r="E19" s="227"/>
      <c r="F19" s="227"/>
      <c r="G19" s="227"/>
      <c r="H19" s="227"/>
      <c r="I19" s="227"/>
      <c r="J19" s="231"/>
      <c r="K19" s="235"/>
      <c r="L19" s="227"/>
      <c r="M19" s="227"/>
      <c r="N19" s="227"/>
      <c r="O19" s="227"/>
      <c r="P19" s="231"/>
      <c r="Q19" s="235"/>
      <c r="R19" s="227"/>
      <c r="S19" s="227"/>
      <c r="T19" s="227"/>
      <c r="U19" s="227"/>
      <c r="V19" s="231"/>
      <c r="W19" s="235"/>
      <c r="X19" s="227"/>
      <c r="Y19" s="227"/>
      <c r="Z19" s="227"/>
      <c r="AA19" s="227"/>
      <c r="AB19" s="231"/>
      <c r="AC19" s="235"/>
      <c r="AD19" s="227"/>
      <c r="AE19" s="227"/>
      <c r="AF19" s="227"/>
      <c r="AG19" s="227"/>
      <c r="AH19" s="232">
        <f>$C$19/1</f>
        <v>10500</v>
      </c>
      <c r="AI19" s="235"/>
      <c r="AJ19" s="229"/>
      <c r="AK19" s="229"/>
      <c r="AL19" s="227"/>
      <c r="AM19" s="229"/>
      <c r="AN19" s="231"/>
      <c r="AO19" s="235"/>
      <c r="AP19" s="227"/>
      <c r="AQ19" s="9"/>
      <c r="AR19" s="9"/>
      <c r="AS19" s="9"/>
      <c r="AT19" s="239"/>
      <c r="AU19" s="238"/>
      <c r="AV19" s="9"/>
      <c r="AW19" s="9"/>
      <c r="AX19" s="9"/>
      <c r="AY19" s="9"/>
      <c r="AZ19" s="9"/>
      <c r="BA19" s="143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</row>
    <row r="20" spans="2:146" ht="16.95" customHeight="1" x14ac:dyDescent="0.3">
      <c r="B20" s="193" t="s">
        <v>135</v>
      </c>
      <c r="C20" s="194">
        <v>8750</v>
      </c>
      <c r="D20" s="196">
        <v>1</v>
      </c>
      <c r="E20" s="227"/>
      <c r="F20" s="227"/>
      <c r="G20" s="227"/>
      <c r="H20" s="227"/>
      <c r="I20" s="227"/>
      <c r="J20" s="231"/>
      <c r="K20" s="235"/>
      <c r="L20" s="227"/>
      <c r="M20" s="227"/>
      <c r="N20" s="227"/>
      <c r="O20" s="227"/>
      <c r="P20" s="231"/>
      <c r="Q20" s="235"/>
      <c r="R20" s="227"/>
      <c r="S20" s="227"/>
      <c r="T20" s="227"/>
      <c r="U20" s="227"/>
      <c r="V20" s="231"/>
      <c r="W20" s="235"/>
      <c r="X20" s="227"/>
      <c r="Y20" s="227"/>
      <c r="Z20" s="227"/>
      <c r="AA20" s="227"/>
      <c r="AB20" s="231"/>
      <c r="AC20" s="235"/>
      <c r="AD20" s="227"/>
      <c r="AE20" s="227"/>
      <c r="AF20" s="227"/>
      <c r="AG20" s="227"/>
      <c r="AH20" s="232">
        <f>$C$20/1</f>
        <v>8750</v>
      </c>
      <c r="AI20" s="235"/>
      <c r="AJ20" s="227"/>
      <c r="AK20" s="227"/>
      <c r="AL20" s="227"/>
      <c r="AM20" s="227"/>
      <c r="AN20" s="240"/>
      <c r="AO20" s="238"/>
      <c r="AP20" s="9"/>
      <c r="AQ20" s="9"/>
      <c r="AR20" s="9"/>
      <c r="AS20" s="9"/>
      <c r="AT20" s="239"/>
      <c r="AU20" s="238"/>
      <c r="AV20" s="9"/>
      <c r="AW20" s="9"/>
      <c r="AX20" s="9"/>
      <c r="AY20" s="9"/>
      <c r="AZ20" s="9"/>
      <c r="BA20" s="143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</row>
    <row r="21" spans="2:146" ht="16.95" customHeight="1" x14ac:dyDescent="0.3">
      <c r="B21" s="223" t="s">
        <v>134</v>
      </c>
      <c r="C21" s="224">
        <v>929784</v>
      </c>
      <c r="D21" s="225">
        <v>2</v>
      </c>
      <c r="E21" s="227"/>
      <c r="F21" s="227"/>
      <c r="G21" s="227"/>
      <c r="H21" s="227"/>
      <c r="I21" s="227"/>
      <c r="J21" s="231"/>
      <c r="K21" s="235"/>
      <c r="L21" s="227"/>
      <c r="M21" s="227"/>
      <c r="N21" s="227"/>
      <c r="O21" s="227"/>
      <c r="P21" s="231"/>
      <c r="Q21" s="235"/>
      <c r="R21" s="227"/>
      <c r="S21" s="227"/>
      <c r="T21" s="227"/>
      <c r="U21" s="227"/>
      <c r="V21" s="231"/>
      <c r="W21" s="235"/>
      <c r="X21" s="227"/>
      <c r="Y21" s="227"/>
      <c r="Z21" s="227"/>
      <c r="AA21" s="227"/>
      <c r="AB21" s="231"/>
      <c r="AC21" s="235"/>
      <c r="AD21" s="227"/>
      <c r="AE21" s="227"/>
      <c r="AF21" s="227"/>
      <c r="AG21" s="227"/>
      <c r="AH21" s="231"/>
      <c r="AI21" s="235"/>
      <c r="AJ21" s="227"/>
      <c r="AK21" s="227"/>
      <c r="AL21" s="227"/>
      <c r="AM21" s="227"/>
      <c r="AN21" s="231"/>
      <c r="AO21" s="235"/>
      <c r="AP21" s="9"/>
      <c r="AQ21" s="226">
        <f>$C$21/2</f>
        <v>464892</v>
      </c>
      <c r="AR21" s="226">
        <f>$C$21/2</f>
        <v>464892</v>
      </c>
      <c r="AS21" s="9"/>
      <c r="AT21" s="239"/>
      <c r="AU21" s="238"/>
      <c r="AV21" s="9"/>
      <c r="AW21" s="9"/>
      <c r="AX21" s="9"/>
      <c r="AY21" s="9"/>
      <c r="AZ21" s="9"/>
      <c r="BA21" s="143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</row>
    <row r="22" spans="2:146" ht="16.95" customHeight="1" x14ac:dyDescent="0.3">
      <c r="B22" s="193" t="s">
        <v>133</v>
      </c>
      <c r="C22" s="194">
        <v>468750</v>
      </c>
      <c r="D22" s="196">
        <v>2</v>
      </c>
      <c r="E22" s="227"/>
      <c r="F22" s="227"/>
      <c r="G22" s="227"/>
      <c r="H22" s="227"/>
      <c r="I22" s="227"/>
      <c r="J22" s="231"/>
      <c r="K22" s="235"/>
      <c r="L22" s="227"/>
      <c r="M22" s="227"/>
      <c r="N22" s="227"/>
      <c r="O22" s="227"/>
      <c r="P22" s="231"/>
      <c r="Q22" s="235"/>
      <c r="R22" s="227"/>
      <c r="S22" s="227"/>
      <c r="T22" s="227"/>
      <c r="U22" s="227"/>
      <c r="V22" s="231"/>
      <c r="W22" s="235"/>
      <c r="X22" s="227"/>
      <c r="Y22" s="227"/>
      <c r="Z22" s="227"/>
      <c r="AA22" s="227"/>
      <c r="AB22" s="231"/>
      <c r="AC22" s="235"/>
      <c r="AD22" s="227"/>
      <c r="AE22" s="227"/>
      <c r="AF22" s="227"/>
      <c r="AG22" s="227"/>
      <c r="AH22" s="231"/>
      <c r="AI22" s="235"/>
      <c r="AJ22" s="227"/>
      <c r="AK22" s="227"/>
      <c r="AL22" s="227"/>
      <c r="AM22" s="227"/>
      <c r="AN22" s="231"/>
      <c r="AO22" s="235"/>
      <c r="AP22" s="9"/>
      <c r="AQ22" s="226">
        <f>$C$22/2</f>
        <v>234375</v>
      </c>
      <c r="AR22" s="226">
        <f>$C$22/2</f>
        <v>234375</v>
      </c>
      <c r="AS22" s="177"/>
      <c r="AT22" s="239"/>
      <c r="AU22" s="238"/>
      <c r="AV22" s="9"/>
      <c r="AW22" s="9"/>
      <c r="AX22" s="9"/>
      <c r="AY22" s="9"/>
      <c r="AZ22" s="9"/>
      <c r="BA22" s="143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</row>
    <row r="23" spans="2:146" ht="16.95" customHeight="1" x14ac:dyDescent="0.3">
      <c r="B23" s="193" t="s">
        <v>132</v>
      </c>
      <c r="C23" s="194">
        <v>450000</v>
      </c>
      <c r="D23" s="196">
        <v>2</v>
      </c>
      <c r="E23" s="227"/>
      <c r="F23" s="227"/>
      <c r="G23" s="227"/>
      <c r="H23" s="227"/>
      <c r="I23" s="227"/>
      <c r="J23" s="231"/>
      <c r="K23" s="235"/>
      <c r="L23" s="227"/>
      <c r="M23" s="227"/>
      <c r="N23" s="227"/>
      <c r="O23" s="227"/>
      <c r="P23" s="231"/>
      <c r="Q23" s="235"/>
      <c r="R23" s="227"/>
      <c r="S23" s="227"/>
      <c r="T23" s="227"/>
      <c r="U23" s="227"/>
      <c r="V23" s="231"/>
      <c r="W23" s="235"/>
      <c r="X23" s="227"/>
      <c r="Y23" s="227"/>
      <c r="Z23" s="227"/>
      <c r="AA23" s="227"/>
      <c r="AB23" s="231"/>
      <c r="AC23" s="235"/>
      <c r="AD23" s="227"/>
      <c r="AE23" s="227"/>
      <c r="AF23" s="227"/>
      <c r="AG23" s="227"/>
      <c r="AH23" s="231"/>
      <c r="AI23" s="235"/>
      <c r="AJ23" s="227"/>
      <c r="AK23" s="227"/>
      <c r="AL23" s="227"/>
      <c r="AM23" s="227"/>
      <c r="AN23" s="231"/>
      <c r="AO23" s="235"/>
      <c r="AP23" s="9"/>
      <c r="AQ23" s="9"/>
      <c r="AR23" s="226">
        <f>$C$23/2</f>
        <v>225000</v>
      </c>
      <c r="AS23" s="226">
        <f>$C$23/2</f>
        <v>225000</v>
      </c>
      <c r="AT23" s="239"/>
      <c r="AU23" s="238"/>
      <c r="AV23" s="9"/>
      <c r="AW23" s="9"/>
      <c r="AX23" s="9"/>
      <c r="AY23" s="9"/>
      <c r="AZ23" s="9"/>
      <c r="BA23" s="143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</row>
    <row r="24" spans="2:146" ht="16.95" customHeight="1" x14ac:dyDescent="0.3">
      <c r="B24" s="193" t="s">
        <v>131</v>
      </c>
      <c r="C24" s="194">
        <v>53970</v>
      </c>
      <c r="D24" s="196">
        <v>1</v>
      </c>
      <c r="E24" s="227"/>
      <c r="F24" s="227"/>
      <c r="G24" s="227"/>
      <c r="H24" s="227"/>
      <c r="I24" s="227"/>
      <c r="J24" s="231"/>
      <c r="K24" s="235"/>
      <c r="L24" s="227"/>
      <c r="M24" s="227"/>
      <c r="N24" s="227"/>
      <c r="O24" s="227"/>
      <c r="P24" s="231"/>
      <c r="Q24" s="235"/>
      <c r="R24" s="227"/>
      <c r="S24" s="227"/>
      <c r="T24" s="227"/>
      <c r="U24" s="227"/>
      <c r="V24" s="231"/>
      <c r="W24" s="235"/>
      <c r="X24" s="227"/>
      <c r="Y24" s="227"/>
      <c r="Z24" s="227"/>
      <c r="AA24" s="227"/>
      <c r="AB24" s="231"/>
      <c r="AC24" s="235"/>
      <c r="AD24" s="227"/>
      <c r="AE24" s="227"/>
      <c r="AF24" s="227"/>
      <c r="AG24" s="227"/>
      <c r="AH24" s="232">
        <f>$C24/1</f>
        <v>53970</v>
      </c>
      <c r="AI24" s="235"/>
      <c r="AJ24" s="227"/>
      <c r="AK24" s="227"/>
      <c r="AL24" s="227"/>
      <c r="AM24" s="227"/>
      <c r="AN24" s="231"/>
      <c r="AO24" s="235"/>
      <c r="AP24" s="227"/>
      <c r="AQ24" s="227"/>
      <c r="AR24" s="227"/>
      <c r="AS24" s="227"/>
      <c r="AT24" s="239"/>
      <c r="AU24" s="238"/>
      <c r="AV24" s="9"/>
      <c r="AW24" s="9"/>
      <c r="AX24" s="9"/>
      <c r="AY24" s="9"/>
      <c r="AZ24" s="9"/>
      <c r="BA24" s="143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</row>
    <row r="25" spans="2:146" ht="16.95" customHeight="1" x14ac:dyDescent="0.3">
      <c r="B25" s="193" t="s">
        <v>130</v>
      </c>
      <c r="C25" s="194">
        <v>302638</v>
      </c>
      <c r="D25" s="195">
        <v>12</v>
      </c>
      <c r="E25" s="227"/>
      <c r="F25" s="227"/>
      <c r="G25" s="227"/>
      <c r="H25" s="227"/>
      <c r="I25" s="227"/>
      <c r="J25" s="231"/>
      <c r="K25" s="235"/>
      <c r="L25" s="227"/>
      <c r="M25" s="227"/>
      <c r="N25" s="227"/>
      <c r="O25" s="227"/>
      <c r="P25" s="231"/>
      <c r="Q25" s="235"/>
      <c r="R25" s="227"/>
      <c r="S25" s="227"/>
      <c r="T25" s="227"/>
      <c r="U25" s="227"/>
      <c r="V25" s="231"/>
      <c r="W25" s="235"/>
      <c r="X25" s="227"/>
      <c r="Y25" s="227"/>
      <c r="Z25" s="227"/>
      <c r="AA25" s="227"/>
      <c r="AB25" s="231"/>
      <c r="AC25" s="235"/>
      <c r="AD25" s="227"/>
      <c r="AE25" s="227"/>
      <c r="AF25" s="227"/>
      <c r="AG25" s="227"/>
      <c r="AH25" s="232">
        <f t="shared" ref="AH25:AS25" si="1">$C$25/$D$25</f>
        <v>25219.833333333332</v>
      </c>
      <c r="AI25" s="236">
        <f t="shared" si="1"/>
        <v>25219.833333333332</v>
      </c>
      <c r="AJ25" s="226">
        <f t="shared" si="1"/>
        <v>25219.833333333332</v>
      </c>
      <c r="AK25" s="226">
        <f t="shared" si="1"/>
        <v>25219.833333333332</v>
      </c>
      <c r="AL25" s="226">
        <f t="shared" si="1"/>
        <v>25219.833333333332</v>
      </c>
      <c r="AM25" s="226">
        <f t="shared" si="1"/>
        <v>25219.833333333332</v>
      </c>
      <c r="AN25" s="232">
        <f t="shared" si="1"/>
        <v>25219.833333333332</v>
      </c>
      <c r="AO25" s="236">
        <f t="shared" si="1"/>
        <v>25219.833333333332</v>
      </c>
      <c r="AP25" s="226">
        <f t="shared" si="1"/>
        <v>25219.833333333332</v>
      </c>
      <c r="AQ25" s="226">
        <f t="shared" si="1"/>
        <v>25219.833333333332</v>
      </c>
      <c r="AR25" s="226">
        <f t="shared" si="1"/>
        <v>25219.833333333332</v>
      </c>
      <c r="AS25" s="226">
        <f t="shared" si="1"/>
        <v>25219.833333333332</v>
      </c>
      <c r="AT25" s="241"/>
      <c r="AU25" s="238"/>
      <c r="AV25" s="9"/>
      <c r="AW25" s="9"/>
      <c r="AX25" s="9"/>
      <c r="AY25" s="9"/>
      <c r="AZ25" s="9"/>
      <c r="BA25" s="143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</row>
    <row r="26" spans="2:146" ht="16.95" customHeight="1" x14ac:dyDescent="0.3">
      <c r="B26" s="193" t="s">
        <v>129</v>
      </c>
      <c r="C26" s="194">
        <v>1425775.88</v>
      </c>
      <c r="D26" s="195">
        <v>12</v>
      </c>
      <c r="E26" s="227"/>
      <c r="F26" s="230"/>
      <c r="G26" s="230"/>
      <c r="H26" s="230"/>
      <c r="I26" s="230"/>
      <c r="J26" s="233"/>
      <c r="K26" s="237"/>
      <c r="L26" s="230"/>
      <c r="M26" s="230"/>
      <c r="N26" s="230"/>
      <c r="O26" s="230"/>
      <c r="P26" s="233"/>
      <c r="Q26" s="237"/>
      <c r="R26" s="230"/>
      <c r="S26" s="230"/>
      <c r="T26" s="230"/>
      <c r="U26" s="230"/>
      <c r="V26" s="233"/>
      <c r="W26" s="237"/>
      <c r="X26" s="230"/>
      <c r="Y26" s="230"/>
      <c r="Z26" s="230"/>
      <c r="AA26" s="230"/>
      <c r="AB26" s="233"/>
      <c r="AC26" s="237"/>
      <c r="AD26" s="230"/>
      <c r="AE26" s="230"/>
      <c r="AF26" s="230"/>
      <c r="AG26" s="230"/>
      <c r="AH26" s="232">
        <f t="shared" ref="AH26:AS26" si="2">$C$26/$D$26</f>
        <v>118814.65666666666</v>
      </c>
      <c r="AI26" s="236">
        <f t="shared" si="2"/>
        <v>118814.65666666666</v>
      </c>
      <c r="AJ26" s="226">
        <f t="shared" si="2"/>
        <v>118814.65666666666</v>
      </c>
      <c r="AK26" s="226">
        <f t="shared" si="2"/>
        <v>118814.65666666666</v>
      </c>
      <c r="AL26" s="226">
        <f t="shared" si="2"/>
        <v>118814.65666666666</v>
      </c>
      <c r="AM26" s="226">
        <f t="shared" si="2"/>
        <v>118814.65666666666</v>
      </c>
      <c r="AN26" s="232">
        <f t="shared" si="2"/>
        <v>118814.65666666666</v>
      </c>
      <c r="AO26" s="236">
        <f t="shared" si="2"/>
        <v>118814.65666666666</v>
      </c>
      <c r="AP26" s="226">
        <f t="shared" si="2"/>
        <v>118814.65666666666</v>
      </c>
      <c r="AQ26" s="226">
        <f t="shared" si="2"/>
        <v>118814.65666666666</v>
      </c>
      <c r="AR26" s="226">
        <f t="shared" si="2"/>
        <v>118814.65666666666</v>
      </c>
      <c r="AS26" s="226">
        <f t="shared" si="2"/>
        <v>118814.65666666666</v>
      </c>
      <c r="AT26" s="233"/>
      <c r="AU26" s="243"/>
      <c r="AV26" s="9"/>
      <c r="AW26" s="9"/>
      <c r="AX26" s="9"/>
      <c r="AY26" s="9"/>
      <c r="AZ26" s="9"/>
      <c r="BA26" s="143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</row>
    <row r="27" spans="2:146" ht="16.95" customHeight="1" x14ac:dyDescent="0.3">
      <c r="B27" s="193" t="s">
        <v>108</v>
      </c>
      <c r="C27" s="194">
        <v>570310.35</v>
      </c>
      <c r="D27" s="195">
        <v>41</v>
      </c>
      <c r="E27" s="226">
        <f t="shared" ref="E27:AS27" si="3">$C$27/$D$27</f>
        <v>13910.008536585365</v>
      </c>
      <c r="F27" s="226">
        <f t="shared" si="3"/>
        <v>13910.008536585365</v>
      </c>
      <c r="G27" s="226">
        <f t="shared" si="3"/>
        <v>13910.008536585365</v>
      </c>
      <c r="H27" s="226">
        <f t="shared" si="3"/>
        <v>13910.008536585365</v>
      </c>
      <c r="I27" s="226">
        <f t="shared" si="3"/>
        <v>13910.008536585365</v>
      </c>
      <c r="J27" s="232">
        <f t="shared" si="3"/>
        <v>13910.008536585365</v>
      </c>
      <c r="K27" s="236">
        <f t="shared" si="3"/>
        <v>13910.008536585365</v>
      </c>
      <c r="L27" s="226">
        <f t="shared" si="3"/>
        <v>13910.008536585365</v>
      </c>
      <c r="M27" s="226">
        <f t="shared" si="3"/>
        <v>13910.008536585365</v>
      </c>
      <c r="N27" s="226">
        <f t="shared" si="3"/>
        <v>13910.008536585365</v>
      </c>
      <c r="O27" s="226">
        <f t="shared" si="3"/>
        <v>13910.008536585365</v>
      </c>
      <c r="P27" s="232">
        <f t="shared" si="3"/>
        <v>13910.008536585365</v>
      </c>
      <c r="Q27" s="236">
        <f t="shared" si="3"/>
        <v>13910.008536585365</v>
      </c>
      <c r="R27" s="226">
        <f t="shared" si="3"/>
        <v>13910.008536585365</v>
      </c>
      <c r="S27" s="226">
        <f t="shared" si="3"/>
        <v>13910.008536585365</v>
      </c>
      <c r="T27" s="226">
        <f t="shared" si="3"/>
        <v>13910.008536585365</v>
      </c>
      <c r="U27" s="226">
        <f t="shared" si="3"/>
        <v>13910.008536585365</v>
      </c>
      <c r="V27" s="232">
        <f t="shared" si="3"/>
        <v>13910.008536585365</v>
      </c>
      <c r="W27" s="236">
        <f t="shared" si="3"/>
        <v>13910.008536585365</v>
      </c>
      <c r="X27" s="226">
        <f t="shared" si="3"/>
        <v>13910.008536585365</v>
      </c>
      <c r="Y27" s="226">
        <f t="shared" si="3"/>
        <v>13910.008536585365</v>
      </c>
      <c r="Z27" s="226">
        <f t="shared" si="3"/>
        <v>13910.008536585365</v>
      </c>
      <c r="AA27" s="226">
        <f t="shared" si="3"/>
        <v>13910.008536585365</v>
      </c>
      <c r="AB27" s="232">
        <f t="shared" si="3"/>
        <v>13910.008536585365</v>
      </c>
      <c r="AC27" s="236">
        <f t="shared" si="3"/>
        <v>13910.008536585365</v>
      </c>
      <c r="AD27" s="226">
        <f t="shared" si="3"/>
        <v>13910.008536585365</v>
      </c>
      <c r="AE27" s="226">
        <f t="shared" si="3"/>
        <v>13910.008536585365</v>
      </c>
      <c r="AF27" s="226">
        <f t="shared" si="3"/>
        <v>13910.008536585365</v>
      </c>
      <c r="AG27" s="226">
        <f t="shared" si="3"/>
        <v>13910.008536585365</v>
      </c>
      <c r="AH27" s="232">
        <f t="shared" si="3"/>
        <v>13910.008536585365</v>
      </c>
      <c r="AI27" s="236">
        <f t="shared" si="3"/>
        <v>13910.008536585365</v>
      </c>
      <c r="AJ27" s="226">
        <f t="shared" si="3"/>
        <v>13910.008536585365</v>
      </c>
      <c r="AK27" s="226">
        <f t="shared" si="3"/>
        <v>13910.008536585365</v>
      </c>
      <c r="AL27" s="226">
        <f t="shared" si="3"/>
        <v>13910.008536585365</v>
      </c>
      <c r="AM27" s="226">
        <f t="shared" si="3"/>
        <v>13910.008536585365</v>
      </c>
      <c r="AN27" s="232">
        <f t="shared" si="3"/>
        <v>13910.008536585365</v>
      </c>
      <c r="AO27" s="236">
        <f t="shared" si="3"/>
        <v>13910.008536585365</v>
      </c>
      <c r="AP27" s="226">
        <f t="shared" si="3"/>
        <v>13910.008536585365</v>
      </c>
      <c r="AQ27" s="226">
        <f t="shared" si="3"/>
        <v>13910.008536585365</v>
      </c>
      <c r="AR27" s="226">
        <f t="shared" si="3"/>
        <v>13910.008536585365</v>
      </c>
      <c r="AS27" s="226">
        <f t="shared" si="3"/>
        <v>13910.008536585365</v>
      </c>
      <c r="AT27" s="241"/>
      <c r="AU27" s="238"/>
      <c r="AV27" s="9"/>
      <c r="AW27" s="9"/>
      <c r="AX27" s="9"/>
      <c r="AY27" s="9"/>
      <c r="AZ27" s="9"/>
      <c r="BA27" s="143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</row>
    <row r="28" spans="2:146" ht="16.95" customHeight="1" x14ac:dyDescent="0.3">
      <c r="B28" s="193" t="s">
        <v>111</v>
      </c>
      <c r="C28" s="194">
        <v>1996086.23</v>
      </c>
      <c r="D28" s="195">
        <v>12</v>
      </c>
      <c r="E28" s="195"/>
      <c r="F28" s="227"/>
      <c r="G28" s="227"/>
      <c r="H28" s="227"/>
      <c r="I28" s="227"/>
      <c r="J28" s="231"/>
      <c r="K28" s="235"/>
      <c r="L28" s="227"/>
      <c r="M28" s="227"/>
      <c r="N28" s="227"/>
      <c r="O28" s="227"/>
      <c r="P28" s="231"/>
      <c r="Q28" s="235"/>
      <c r="R28" s="227"/>
      <c r="S28" s="227"/>
      <c r="T28" s="227"/>
      <c r="U28" s="227"/>
      <c r="V28" s="231"/>
      <c r="W28" s="235"/>
      <c r="X28" s="227"/>
      <c r="Y28" s="227"/>
      <c r="Z28" s="227"/>
      <c r="AA28" s="227"/>
      <c r="AB28" s="231"/>
      <c r="AC28" s="235"/>
      <c r="AD28" s="227"/>
      <c r="AE28" s="227"/>
      <c r="AF28" s="227"/>
      <c r="AG28" s="227"/>
      <c r="AH28" s="232">
        <f t="shared" ref="AH28:AS28" si="4">$C$28/$D$28</f>
        <v>166340.51916666667</v>
      </c>
      <c r="AI28" s="236">
        <f t="shared" si="4"/>
        <v>166340.51916666667</v>
      </c>
      <c r="AJ28" s="226">
        <f t="shared" si="4"/>
        <v>166340.51916666667</v>
      </c>
      <c r="AK28" s="226">
        <f t="shared" si="4"/>
        <v>166340.51916666667</v>
      </c>
      <c r="AL28" s="226">
        <f t="shared" si="4"/>
        <v>166340.51916666667</v>
      </c>
      <c r="AM28" s="226">
        <f t="shared" si="4"/>
        <v>166340.51916666667</v>
      </c>
      <c r="AN28" s="232">
        <f t="shared" si="4"/>
        <v>166340.51916666667</v>
      </c>
      <c r="AO28" s="236">
        <f t="shared" si="4"/>
        <v>166340.51916666667</v>
      </c>
      <c r="AP28" s="226">
        <f t="shared" si="4"/>
        <v>166340.51916666667</v>
      </c>
      <c r="AQ28" s="226">
        <f t="shared" si="4"/>
        <v>166340.51916666667</v>
      </c>
      <c r="AR28" s="226">
        <f t="shared" si="4"/>
        <v>166340.51916666667</v>
      </c>
      <c r="AS28" s="226">
        <f t="shared" si="4"/>
        <v>166340.51916666667</v>
      </c>
      <c r="AT28" s="241"/>
      <c r="AU28" s="238"/>
      <c r="AV28" s="9"/>
      <c r="AW28" s="9"/>
      <c r="AX28" s="9"/>
      <c r="AY28" s="9"/>
      <c r="AZ28" s="9"/>
      <c r="BA28" s="143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</row>
    <row r="29" spans="2:146" ht="16.95" customHeight="1" x14ac:dyDescent="0.3">
      <c r="B29" s="193" t="s">
        <v>128</v>
      </c>
      <c r="C29" s="194">
        <v>570310.35</v>
      </c>
      <c r="D29" s="195">
        <v>12</v>
      </c>
      <c r="E29" s="195"/>
      <c r="F29" s="227"/>
      <c r="G29" s="227"/>
      <c r="H29" s="227"/>
      <c r="I29" s="227"/>
      <c r="J29" s="231"/>
      <c r="K29" s="235"/>
      <c r="L29" s="227"/>
      <c r="M29" s="227"/>
      <c r="N29" s="227"/>
      <c r="O29" s="227"/>
      <c r="P29" s="231"/>
      <c r="Q29" s="235"/>
      <c r="R29" s="227"/>
      <c r="S29" s="227"/>
      <c r="T29" s="227"/>
      <c r="U29" s="227"/>
      <c r="V29" s="231"/>
      <c r="W29" s="235"/>
      <c r="X29" s="227"/>
      <c r="Y29" s="227"/>
      <c r="Z29" s="227"/>
      <c r="AA29" s="227"/>
      <c r="AB29" s="231"/>
      <c r="AC29" s="235"/>
      <c r="AD29" s="227"/>
      <c r="AE29" s="227"/>
      <c r="AF29" s="227"/>
      <c r="AG29" s="227"/>
      <c r="AH29" s="232">
        <f t="shared" ref="AH29:AS29" si="5">$C$29/$D$29</f>
        <v>47525.862499999996</v>
      </c>
      <c r="AI29" s="236">
        <f t="shared" si="5"/>
        <v>47525.862499999996</v>
      </c>
      <c r="AJ29" s="226">
        <f t="shared" si="5"/>
        <v>47525.862499999996</v>
      </c>
      <c r="AK29" s="226">
        <f t="shared" si="5"/>
        <v>47525.862499999996</v>
      </c>
      <c r="AL29" s="226">
        <f t="shared" si="5"/>
        <v>47525.862499999996</v>
      </c>
      <c r="AM29" s="226">
        <f t="shared" si="5"/>
        <v>47525.862499999996</v>
      </c>
      <c r="AN29" s="232">
        <f t="shared" si="5"/>
        <v>47525.862499999996</v>
      </c>
      <c r="AO29" s="236">
        <f t="shared" si="5"/>
        <v>47525.862499999996</v>
      </c>
      <c r="AP29" s="226">
        <f t="shared" si="5"/>
        <v>47525.862499999996</v>
      </c>
      <c r="AQ29" s="226">
        <f t="shared" si="5"/>
        <v>47525.862499999996</v>
      </c>
      <c r="AR29" s="226">
        <f t="shared" si="5"/>
        <v>47525.862499999996</v>
      </c>
      <c r="AS29" s="226">
        <f t="shared" si="5"/>
        <v>47525.862499999996</v>
      </c>
      <c r="AT29" s="241"/>
      <c r="AU29" s="238"/>
      <c r="AV29" s="9"/>
      <c r="AW29" s="9"/>
      <c r="AX29" s="9"/>
      <c r="AY29" s="9"/>
      <c r="AZ29" s="9"/>
      <c r="BA29" s="143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</row>
    <row r="30" spans="2:146" ht="16.95" customHeight="1" x14ac:dyDescent="0.3">
      <c r="B30" s="223" t="s">
        <v>127</v>
      </c>
      <c r="C30" s="224">
        <v>55025</v>
      </c>
      <c r="D30" s="248">
        <v>1</v>
      </c>
      <c r="E30" s="248"/>
      <c r="F30" s="249"/>
      <c r="G30" s="249"/>
      <c r="H30" s="249"/>
      <c r="I30" s="249"/>
      <c r="J30" s="250"/>
      <c r="K30" s="251"/>
      <c r="L30" s="249"/>
      <c r="M30" s="249"/>
      <c r="N30" s="249"/>
      <c r="O30" s="249"/>
      <c r="P30" s="250"/>
      <c r="Q30" s="251"/>
      <c r="R30" s="249"/>
      <c r="S30" s="249"/>
      <c r="T30" s="249"/>
      <c r="U30" s="249"/>
      <c r="V30" s="250"/>
      <c r="W30" s="251"/>
      <c r="X30" s="249"/>
      <c r="Y30" s="249"/>
      <c r="Z30" s="249"/>
      <c r="AA30" s="249"/>
      <c r="AB30" s="250"/>
      <c r="AC30" s="251"/>
      <c r="AD30" s="249"/>
      <c r="AE30" s="249"/>
      <c r="AF30" s="249"/>
      <c r="AG30" s="249"/>
      <c r="AH30" s="250"/>
      <c r="AI30" s="251"/>
      <c r="AJ30" s="249"/>
      <c r="AK30" s="249"/>
      <c r="AL30" s="249"/>
      <c r="AM30" s="249"/>
      <c r="AN30" s="250"/>
      <c r="AO30" s="251"/>
      <c r="AP30" s="249"/>
      <c r="AQ30" s="249"/>
      <c r="AR30" s="249"/>
      <c r="AS30" s="249"/>
      <c r="AT30" s="252">
        <f>$C$30/2</f>
        <v>27512.5</v>
      </c>
      <c r="AU30" s="253">
        <f>$C$30/2</f>
        <v>27512.5</v>
      </c>
      <c r="AV30" s="254"/>
      <c r="AW30" s="254"/>
      <c r="AX30" s="254"/>
      <c r="AY30" s="254"/>
      <c r="AZ30" s="254"/>
      <c r="BA30" s="143"/>
      <c r="BB30" s="247" t="s">
        <v>166</v>
      </c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</row>
    <row r="31" spans="2:146" ht="16.95" customHeight="1" thickBot="1" x14ac:dyDescent="0.35">
      <c r="B31" s="255"/>
      <c r="C31" s="256"/>
      <c r="D31" s="257"/>
      <c r="E31" s="258">
        <f t="shared" ref="E31:AZ31" si="6">SUM(E5:E30)</f>
        <v>8893910.0085365847</v>
      </c>
      <c r="F31" s="258">
        <f t="shared" si="6"/>
        <v>41423.008536585367</v>
      </c>
      <c r="G31" s="258">
        <f t="shared" si="6"/>
        <v>192742.00853658537</v>
      </c>
      <c r="H31" s="258">
        <f t="shared" si="6"/>
        <v>192742.00853658537</v>
      </c>
      <c r="I31" s="258">
        <f t="shared" si="6"/>
        <v>117082.25853658536</v>
      </c>
      <c r="J31" s="259">
        <f t="shared" si="6"/>
        <v>117082.25853658536</v>
      </c>
      <c r="K31" s="260">
        <f t="shared" si="6"/>
        <v>117082.25853658536</v>
      </c>
      <c r="L31" s="258">
        <f t="shared" si="6"/>
        <v>117082.25853658536</v>
      </c>
      <c r="M31" s="258">
        <f t="shared" si="6"/>
        <v>13910.008536585365</v>
      </c>
      <c r="N31" s="258">
        <f t="shared" si="6"/>
        <v>13910.008536585365</v>
      </c>
      <c r="O31" s="258">
        <f t="shared" si="6"/>
        <v>13910.008536585365</v>
      </c>
      <c r="P31" s="259">
        <f t="shared" si="6"/>
        <v>165216.75853658537</v>
      </c>
      <c r="Q31" s="260">
        <f t="shared" si="6"/>
        <v>165216.75853658537</v>
      </c>
      <c r="R31" s="258">
        <f t="shared" si="6"/>
        <v>165216.75853658537</v>
      </c>
      <c r="S31" s="258">
        <f t="shared" si="6"/>
        <v>165216.75853658537</v>
      </c>
      <c r="T31" s="258">
        <f t="shared" si="6"/>
        <v>13910.008536585365</v>
      </c>
      <c r="U31" s="258">
        <f t="shared" si="6"/>
        <v>13910.008536585365</v>
      </c>
      <c r="V31" s="259">
        <f t="shared" si="6"/>
        <v>13910.008536585365</v>
      </c>
      <c r="W31" s="260">
        <f t="shared" si="6"/>
        <v>167980.40853658537</v>
      </c>
      <c r="X31" s="258">
        <f t="shared" si="6"/>
        <v>167980.40853658537</v>
      </c>
      <c r="Y31" s="258">
        <f t="shared" si="6"/>
        <v>167980.40853658537</v>
      </c>
      <c r="Z31" s="258">
        <f t="shared" si="6"/>
        <v>167980.40853658537</v>
      </c>
      <c r="AA31" s="258">
        <f t="shared" si="6"/>
        <v>167980.40853658537</v>
      </c>
      <c r="AB31" s="259">
        <f t="shared" si="6"/>
        <v>62057.008536585367</v>
      </c>
      <c r="AC31" s="260">
        <f t="shared" si="6"/>
        <v>62057.008536585367</v>
      </c>
      <c r="AD31" s="258">
        <f t="shared" si="6"/>
        <v>62057.008536585367</v>
      </c>
      <c r="AE31" s="258">
        <f t="shared" si="6"/>
        <v>62057.008536585367</v>
      </c>
      <c r="AF31" s="258">
        <f t="shared" si="6"/>
        <v>27666.508536585367</v>
      </c>
      <c r="AG31" s="258">
        <f t="shared" si="6"/>
        <v>27666.508536585367</v>
      </c>
      <c r="AH31" s="259">
        <f t="shared" si="6"/>
        <v>2797742.7968699182</v>
      </c>
      <c r="AI31" s="260">
        <f t="shared" si="6"/>
        <v>2575542.7968699182</v>
      </c>
      <c r="AJ31" s="258">
        <f t="shared" si="6"/>
        <v>2575542.7968699182</v>
      </c>
      <c r="AK31" s="258">
        <f t="shared" si="6"/>
        <v>2575542.7968699182</v>
      </c>
      <c r="AL31" s="258">
        <f t="shared" si="6"/>
        <v>2575542.7968699182</v>
      </c>
      <c r="AM31" s="258">
        <f t="shared" si="6"/>
        <v>2575542.7968699182</v>
      </c>
      <c r="AN31" s="259">
        <f t="shared" si="6"/>
        <v>2575542.7968699182</v>
      </c>
      <c r="AO31" s="260">
        <f t="shared" si="6"/>
        <v>2575542.7968699182</v>
      </c>
      <c r="AP31" s="258">
        <f t="shared" si="6"/>
        <v>2575542.7968699182</v>
      </c>
      <c r="AQ31" s="258">
        <f t="shared" si="6"/>
        <v>3274809.7968699182</v>
      </c>
      <c r="AR31" s="258">
        <f t="shared" si="6"/>
        <v>3499809.7968699182</v>
      </c>
      <c r="AS31" s="258">
        <f t="shared" si="6"/>
        <v>2800542.7968699182</v>
      </c>
      <c r="AT31" s="259">
        <f t="shared" si="6"/>
        <v>27512.5</v>
      </c>
      <c r="AU31" s="260">
        <f t="shared" si="6"/>
        <v>27512.5</v>
      </c>
      <c r="AV31" s="258">
        <f t="shared" si="6"/>
        <v>0</v>
      </c>
      <c r="AW31" s="258">
        <f t="shared" si="6"/>
        <v>0</v>
      </c>
      <c r="AX31" s="258">
        <f t="shared" si="6"/>
        <v>0</v>
      </c>
      <c r="AY31" s="258">
        <f t="shared" si="6"/>
        <v>0</v>
      </c>
      <c r="AZ31" s="258">
        <f t="shared" si="6"/>
        <v>0</v>
      </c>
      <c r="BA31" s="261"/>
      <c r="BB31" s="178">
        <f>SUM(E31:AU31)</f>
        <v>44709208.80999998</v>
      </c>
    </row>
    <row r="32" spans="2:146" ht="16.95" customHeight="1" x14ac:dyDescent="0.3">
      <c r="B32" s="244" t="s">
        <v>178</v>
      </c>
      <c r="C32" s="245">
        <f>SUM(C5:C30)</f>
        <v>44709208.810000002</v>
      </c>
      <c r="D32" s="246"/>
      <c r="E32" s="274">
        <f>E31+F31+G31+H31+I31+J31</f>
        <v>9554981.5512195081</v>
      </c>
      <c r="F32" s="275"/>
      <c r="G32" s="275"/>
      <c r="H32" s="275"/>
      <c r="I32" s="275"/>
      <c r="J32" s="276"/>
      <c r="K32" s="277">
        <f>K31+L31+M31+N31+O31+P31</f>
        <v>441111.30121951218</v>
      </c>
      <c r="L32" s="275"/>
      <c r="M32" s="275"/>
      <c r="N32" s="275"/>
      <c r="O32" s="275"/>
      <c r="P32" s="276"/>
      <c r="Q32" s="277">
        <f>Q31+R31+S31+T31+U31+V31</f>
        <v>537380.30121951224</v>
      </c>
      <c r="R32" s="275"/>
      <c r="S32" s="275"/>
      <c r="T32" s="275"/>
      <c r="U32" s="275"/>
      <c r="V32" s="276"/>
      <c r="W32" s="277">
        <f>W31+X31+Y31+Z31+AA31+AB31</f>
        <v>901959.05121951224</v>
      </c>
      <c r="X32" s="275"/>
      <c r="Y32" s="275"/>
      <c r="Z32" s="275"/>
      <c r="AA32" s="275"/>
      <c r="AB32" s="276"/>
      <c r="AC32" s="277">
        <f>AC31+AD31+AE31+AF31+AG31+AH31</f>
        <v>3039246.8395528449</v>
      </c>
      <c r="AD32" s="275"/>
      <c r="AE32" s="275"/>
      <c r="AF32" s="275"/>
      <c r="AG32" s="275"/>
      <c r="AH32" s="276"/>
      <c r="AI32" s="277">
        <f>AI31+AJ31+AK31+AL31+AM31+AN31</f>
        <v>15453256.78121951</v>
      </c>
      <c r="AJ32" s="275"/>
      <c r="AK32" s="275"/>
      <c r="AL32" s="275"/>
      <c r="AM32" s="275"/>
      <c r="AN32" s="276"/>
      <c r="AO32" s="277">
        <f>AO31+AP31+AQ31+AR31+AS31+AT31</f>
        <v>14753760.484349592</v>
      </c>
      <c r="AP32" s="275"/>
      <c r="AQ32" s="275"/>
      <c r="AR32" s="275"/>
      <c r="AS32" s="275"/>
      <c r="AT32" s="276"/>
      <c r="AU32" s="277">
        <f>AU31</f>
        <v>27512.5</v>
      </c>
      <c r="AV32" s="275"/>
      <c r="AW32" s="275"/>
      <c r="AX32" s="275"/>
      <c r="AY32" s="275"/>
      <c r="AZ32" s="278"/>
      <c r="BB32" s="178">
        <f>SUM(E32:AU32)</f>
        <v>44709208.809999995</v>
      </c>
    </row>
    <row r="33" spans="3:15" x14ac:dyDescent="0.3">
      <c r="C33" s="40"/>
      <c r="O33" s="40"/>
    </row>
    <row r="34" spans="3:15" x14ac:dyDescent="0.3">
      <c r="C34" s="40"/>
    </row>
    <row r="35" spans="3:15" x14ac:dyDescent="0.3">
      <c r="C35" s="40"/>
    </row>
    <row r="36" spans="3:15" x14ac:dyDescent="0.3">
      <c r="C36" s="40"/>
    </row>
    <row r="37" spans="3:15" x14ac:dyDescent="0.3">
      <c r="C37" s="40"/>
    </row>
  </sheetData>
  <mergeCells count="23">
    <mergeCell ref="E32:J32"/>
    <mergeCell ref="AU32:AZ32"/>
    <mergeCell ref="AO32:AT32"/>
    <mergeCell ref="AI32:AN32"/>
    <mergeCell ref="AC32:AH32"/>
    <mergeCell ref="W32:AB32"/>
    <mergeCell ref="Q32:V32"/>
    <mergeCell ref="K32:P32"/>
    <mergeCell ref="EJ3:EP3"/>
    <mergeCell ref="B2:D2"/>
    <mergeCell ref="E2:O2"/>
    <mergeCell ref="P2:AS2"/>
    <mergeCell ref="AT2:AZ2"/>
    <mergeCell ref="B3:D3"/>
    <mergeCell ref="E3:P3"/>
    <mergeCell ref="Q3:AB3"/>
    <mergeCell ref="AC3:AN3"/>
    <mergeCell ref="AO3:AZ3"/>
    <mergeCell ref="DA3:DG3"/>
    <mergeCell ref="DH3:DN3"/>
    <mergeCell ref="DO3:DU3"/>
    <mergeCell ref="DV3:EB3"/>
    <mergeCell ref="EC3:EI3"/>
  </mergeCells>
  <pageMargins left="0.70866141732283472" right="0.70866141732283472" top="0.78740157480314965" bottom="0.78740157480314965" header="0.31496062992125984" footer="0.31496062992125984"/>
  <pageSetup paperSize="9" scale="59" fitToWidth="0" orientation="landscape" r:id="rId1"/>
  <ignoredErrors>
    <ignoredError sqref="AV31:AZ3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2"/>
  <sheetViews>
    <sheetView topLeftCell="E16" workbookViewId="0">
      <selection activeCell="I46" sqref="I46"/>
    </sheetView>
  </sheetViews>
  <sheetFormatPr defaultRowHeight="14.4" x14ac:dyDescent="0.3"/>
  <cols>
    <col min="2" max="2" width="19.5546875" customWidth="1"/>
    <col min="3" max="3" width="16.77734375" customWidth="1"/>
    <col min="4" max="4" width="19.21875" customWidth="1"/>
    <col min="5" max="5" width="18.21875" customWidth="1"/>
    <col min="7" max="7" width="20" customWidth="1"/>
    <col min="8" max="8" width="19.5546875" customWidth="1"/>
    <col min="9" max="9" width="23.109375" customWidth="1"/>
    <col min="10" max="10" width="21.77734375" customWidth="1"/>
    <col min="11" max="11" width="13.33203125" customWidth="1"/>
    <col min="13" max="13" width="26.44140625" customWidth="1"/>
    <col min="14" max="14" width="19.109375" customWidth="1"/>
    <col min="15" max="15" width="23.33203125" customWidth="1"/>
    <col min="16" max="16" width="23.21875" customWidth="1"/>
  </cols>
  <sheetData>
    <row r="1" spans="2:16" s="4" customFormat="1" ht="13.8" x14ac:dyDescent="0.25"/>
    <row r="2" spans="2:16" s="4" customFormat="1" ht="13.8" x14ac:dyDescent="0.25">
      <c r="B2" s="4" t="s">
        <v>65</v>
      </c>
      <c r="D2" s="180">
        <v>12</v>
      </c>
    </row>
    <row r="3" spans="2:16" s="4" customFormat="1" ht="13.8" x14ac:dyDescent="0.25">
      <c r="B3" s="4" t="s">
        <v>182</v>
      </c>
      <c r="D3" s="180">
        <v>7</v>
      </c>
    </row>
    <row r="4" spans="2:16" s="4" customFormat="1" ht="13.8" x14ac:dyDescent="0.25">
      <c r="B4" s="4" t="s">
        <v>67</v>
      </c>
      <c r="D4" s="183">
        <v>0.9</v>
      </c>
    </row>
    <row r="5" spans="2:16" s="4" customFormat="1" ht="13.8" x14ac:dyDescent="0.25">
      <c r="B5" s="4" t="s">
        <v>68</v>
      </c>
      <c r="D5" s="183">
        <v>0.1</v>
      </c>
    </row>
    <row r="6" spans="2:16" s="4" customFormat="1" ht="13.8" x14ac:dyDescent="0.25">
      <c r="B6" s="4" t="s">
        <v>70</v>
      </c>
      <c r="D6" s="183">
        <v>0.4</v>
      </c>
    </row>
    <row r="7" spans="2:16" s="4" customFormat="1" ht="13.8" x14ac:dyDescent="0.25">
      <c r="B7" s="4" t="s">
        <v>63</v>
      </c>
      <c r="D7" s="183">
        <v>0.6</v>
      </c>
    </row>
    <row r="8" spans="2:16" s="4" customFormat="1" ht="13.8" x14ac:dyDescent="0.25">
      <c r="D8" s="183"/>
      <c r="M8" s="4" t="s">
        <v>161</v>
      </c>
      <c r="N8" s="4">
        <v>1</v>
      </c>
    </row>
    <row r="9" spans="2:16" s="4" customFormat="1" ht="13.8" x14ac:dyDescent="0.25">
      <c r="B9" s="49" t="s">
        <v>185</v>
      </c>
      <c r="C9" s="49"/>
      <c r="D9" s="49"/>
      <c r="E9" s="49"/>
      <c r="F9" s="49"/>
      <c r="G9" s="49" t="s">
        <v>186</v>
      </c>
      <c r="H9" s="49"/>
      <c r="I9" s="49"/>
      <c r="J9" s="49"/>
      <c r="K9" s="49"/>
      <c r="L9" s="49"/>
      <c r="M9" s="133" t="s">
        <v>157</v>
      </c>
      <c r="N9" s="133">
        <v>5</v>
      </c>
      <c r="O9" s="49"/>
      <c r="P9" s="49"/>
    </row>
    <row r="10" spans="2:16" s="4" customFormat="1" ht="16.95" customHeight="1" thickBot="1" x14ac:dyDescent="0.3">
      <c r="B10" s="66" t="s">
        <v>4</v>
      </c>
      <c r="C10" s="80" t="s">
        <v>174</v>
      </c>
      <c r="D10" s="80" t="s">
        <v>204</v>
      </c>
      <c r="E10" s="80" t="s">
        <v>175</v>
      </c>
      <c r="F10" s="49"/>
      <c r="G10" s="66" t="s">
        <v>4</v>
      </c>
      <c r="H10" s="66" t="s">
        <v>162</v>
      </c>
      <c r="I10" s="80" t="s">
        <v>163</v>
      </c>
      <c r="J10" s="80" t="s">
        <v>164</v>
      </c>
      <c r="K10" s="80" t="s">
        <v>165</v>
      </c>
      <c r="L10" s="49"/>
      <c r="M10" s="66" t="s">
        <v>4</v>
      </c>
      <c r="N10" s="66" t="s">
        <v>162</v>
      </c>
      <c r="O10" s="132"/>
      <c r="P10" s="132"/>
    </row>
    <row r="11" spans="2:16" s="4" customFormat="1" ht="16.95" customHeight="1" x14ac:dyDescent="0.25">
      <c r="B11" s="50" t="s">
        <v>47</v>
      </c>
      <c r="C11" s="6">
        <v>20</v>
      </c>
      <c r="D11" s="6">
        <f>D4*C11</f>
        <v>18</v>
      </c>
      <c r="E11" s="6">
        <f>C11-D11</f>
        <v>2</v>
      </c>
      <c r="F11" s="49"/>
      <c r="G11" s="50" t="s">
        <v>47</v>
      </c>
      <c r="H11" s="55">
        <f>'Bytový dům B'!G24/20*'Scénář prodeje'!D11*D6</f>
        <v>19542378</v>
      </c>
      <c r="I11" s="55">
        <f>'Bytový dům B'!G24/20*'Scénář prodeje'!D11*D7</f>
        <v>29313567</v>
      </c>
      <c r="J11" s="55">
        <f>'Bytový dům B'!G24/20*'Scénář prodeje'!E11</f>
        <v>5428438.333333333</v>
      </c>
      <c r="K11" s="55">
        <f>H11+I11+J11</f>
        <v>54284383.333333336</v>
      </c>
      <c r="L11" s="49"/>
      <c r="M11" s="50" t="s">
        <v>47</v>
      </c>
      <c r="N11" s="55">
        <f>H11/D2*$N$8</f>
        <v>1628531.5</v>
      </c>
      <c r="O11" s="134"/>
      <c r="P11" s="134"/>
    </row>
    <row r="12" spans="2:16" s="4" customFormat="1" ht="16.95" customHeight="1" x14ac:dyDescent="0.25">
      <c r="B12" s="52" t="s">
        <v>48</v>
      </c>
      <c r="C12" s="11">
        <v>5</v>
      </c>
      <c r="D12" s="11">
        <v>5</v>
      </c>
      <c r="E12" s="11">
        <f>C12-D12</f>
        <v>0</v>
      </c>
      <c r="F12" s="49"/>
      <c r="G12" s="52" t="s">
        <v>48</v>
      </c>
      <c r="H12" s="58">
        <f>'Bytový dům B'!R9/5*D12*D6</f>
        <v>167300</v>
      </c>
      <c r="I12" s="58">
        <f>'Bytový dům B'!R9/5*D12*D7</f>
        <v>250950</v>
      </c>
      <c r="J12" s="58">
        <v>0</v>
      </c>
      <c r="K12" s="58">
        <f>H12+I12+J12</f>
        <v>418250</v>
      </c>
      <c r="L12" s="49"/>
      <c r="M12" s="52" t="s">
        <v>48</v>
      </c>
      <c r="N12" s="58">
        <f>H12/D2</f>
        <v>13941.666666666666</v>
      </c>
      <c r="O12" s="134"/>
      <c r="P12" s="134"/>
    </row>
    <row r="13" spans="2:16" s="4" customFormat="1" ht="16.95" customHeight="1" x14ac:dyDescent="0.25">
      <c r="B13" s="52" t="s">
        <v>160</v>
      </c>
      <c r="C13" s="11">
        <v>9</v>
      </c>
      <c r="D13" s="11">
        <v>9</v>
      </c>
      <c r="E13" s="11">
        <f>C13-D13</f>
        <v>0</v>
      </c>
      <c r="F13" s="49"/>
      <c r="G13" s="52" t="s">
        <v>160</v>
      </c>
      <c r="H13" s="58">
        <f>'Bytový dům B'!U4*D13*D6</f>
        <v>756000</v>
      </c>
      <c r="I13" s="58">
        <f>'Bytový dům B'!U4*D13*D7</f>
        <v>1134000</v>
      </c>
      <c r="J13" s="58">
        <v>0</v>
      </c>
      <c r="K13" s="58">
        <f>H13+I13+J13</f>
        <v>1890000</v>
      </c>
      <c r="L13" s="49"/>
      <c r="M13" s="52" t="s">
        <v>160</v>
      </c>
      <c r="N13" s="58">
        <f>H13/D2</f>
        <v>63000</v>
      </c>
      <c r="O13" s="134"/>
      <c r="P13" s="134"/>
    </row>
    <row r="14" spans="2:16" s="4" customFormat="1" ht="16.95" customHeight="1" thickBot="1" x14ac:dyDescent="0.3">
      <c r="B14" s="52" t="s">
        <v>45</v>
      </c>
      <c r="C14" s="11">
        <v>6</v>
      </c>
      <c r="D14" s="11">
        <v>6</v>
      </c>
      <c r="E14" s="11">
        <v>0</v>
      </c>
      <c r="F14" s="49"/>
      <c r="G14" s="63" t="s">
        <v>45</v>
      </c>
      <c r="H14" s="64">
        <f>'Bytový dům B'!U5*D14*D6</f>
        <v>360000</v>
      </c>
      <c r="I14" s="64">
        <f>'Bytový dům B'!U5*D14*D7</f>
        <v>540000</v>
      </c>
      <c r="J14" s="64">
        <f>'Bytový dům B'!U5*E14</f>
        <v>0</v>
      </c>
      <c r="K14" s="64">
        <f>H14+I14+J14</f>
        <v>900000</v>
      </c>
      <c r="L14" s="49"/>
      <c r="M14" s="63" t="s">
        <v>45</v>
      </c>
      <c r="N14" s="64">
        <f>H14/D2</f>
        <v>30000</v>
      </c>
      <c r="O14" s="134"/>
      <c r="P14" s="134"/>
    </row>
    <row r="15" spans="2:16" s="4" customFormat="1" ht="16.95" customHeight="1" thickTop="1" x14ac:dyDescent="0.25">
      <c r="B15" s="49"/>
      <c r="C15" s="49"/>
      <c r="D15" s="49"/>
      <c r="E15" s="49"/>
      <c r="F15" s="49"/>
      <c r="G15" s="98" t="s">
        <v>17</v>
      </c>
      <c r="H15" s="85">
        <f>H11+H12+H13+H14</f>
        <v>20825678</v>
      </c>
      <c r="I15" s="85">
        <f>I11+I12+I13+I14</f>
        <v>31238517</v>
      </c>
      <c r="J15" s="85">
        <f>J11+J12+J13+J14</f>
        <v>5428438.333333333</v>
      </c>
      <c r="K15" s="85">
        <f>K11+K12+K13+K14</f>
        <v>57492633.333333336</v>
      </c>
      <c r="L15" s="49"/>
      <c r="M15" s="98" t="s">
        <v>206</v>
      </c>
      <c r="N15" s="85">
        <f>N11+N12+N13+N14</f>
        <v>1735473.1666666667</v>
      </c>
      <c r="O15" s="134"/>
      <c r="P15" s="134"/>
    </row>
    <row r="16" spans="2:16" s="4" customFormat="1" ht="16.95" customHeight="1" x14ac:dyDescent="0.25"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134"/>
    </row>
    <row r="17" spans="2:16" s="4" customFormat="1" ht="16.95" customHeight="1" x14ac:dyDescent="0.25">
      <c r="B17" s="49"/>
      <c r="C17" s="49"/>
      <c r="D17" s="49"/>
      <c r="E17" s="49"/>
      <c r="F17" s="49"/>
      <c r="G17" s="49"/>
      <c r="H17" s="49"/>
      <c r="I17" s="49"/>
      <c r="J17" s="49"/>
      <c r="K17" s="134"/>
      <c r="L17" s="49"/>
      <c r="M17" s="49" t="s">
        <v>161</v>
      </c>
      <c r="N17" s="49">
        <v>6</v>
      </c>
      <c r="O17" s="49"/>
      <c r="P17" s="134"/>
    </row>
    <row r="18" spans="2:16" s="4" customFormat="1" ht="16.95" customHeight="1" x14ac:dyDescent="0.25"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133" t="s">
        <v>157</v>
      </c>
      <c r="N18" s="133">
        <v>6</v>
      </c>
      <c r="O18" s="49"/>
      <c r="P18" s="49"/>
    </row>
    <row r="19" spans="2:16" s="4" customFormat="1" ht="16.95" customHeight="1" thickBot="1" x14ac:dyDescent="0.3"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66" t="s">
        <v>4</v>
      </c>
      <c r="N19" s="66" t="s">
        <v>162</v>
      </c>
      <c r="O19" s="49"/>
      <c r="P19" s="49"/>
    </row>
    <row r="20" spans="2:16" s="4" customFormat="1" ht="16.95" customHeight="1" x14ac:dyDescent="0.25"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50" t="s">
        <v>47</v>
      </c>
      <c r="N20" s="55">
        <f>H11/$D$2*$N$17</f>
        <v>9771189</v>
      </c>
      <c r="O20" s="49"/>
      <c r="P20" s="49"/>
    </row>
    <row r="21" spans="2:16" s="4" customFormat="1" ht="16.95" customHeight="1" x14ac:dyDescent="0.25"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2" t="s">
        <v>48</v>
      </c>
      <c r="N21" s="58">
        <f>H12/$D$2*$N$17</f>
        <v>83650</v>
      </c>
      <c r="O21" s="49"/>
      <c r="P21" s="49"/>
    </row>
    <row r="22" spans="2:16" s="4" customFormat="1" ht="16.95" customHeight="1" x14ac:dyDescent="0.25"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52" t="s">
        <v>160</v>
      </c>
      <c r="N22" s="58">
        <f>H13/$D$2*$N$17</f>
        <v>378000</v>
      </c>
      <c r="O22" s="49"/>
      <c r="P22" s="49"/>
    </row>
    <row r="23" spans="2:16" s="4" customFormat="1" ht="16.95" customHeight="1" thickBot="1" x14ac:dyDescent="0.3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63" t="s">
        <v>45</v>
      </c>
      <c r="N23" s="64">
        <f>H14/$D$2*$N$17</f>
        <v>180000</v>
      </c>
      <c r="O23" s="49"/>
      <c r="P23" s="49"/>
    </row>
    <row r="24" spans="2:16" s="4" customFormat="1" ht="16.95" customHeight="1" thickTop="1" x14ac:dyDescent="0.25"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98" t="s">
        <v>207</v>
      </c>
      <c r="N24" s="85">
        <f>N20+N21+N22+N23</f>
        <v>10412839</v>
      </c>
      <c r="O24" s="134"/>
      <c r="P24" s="49"/>
    </row>
    <row r="25" spans="2:16" s="4" customFormat="1" ht="16.95" customHeight="1" x14ac:dyDescent="0.25"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</row>
    <row r="26" spans="2:16" s="4" customFormat="1" ht="16.95" customHeight="1" x14ac:dyDescent="0.25"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 t="s">
        <v>161</v>
      </c>
      <c r="N26" s="49">
        <v>5</v>
      </c>
      <c r="O26" s="49"/>
      <c r="P26" s="49"/>
    </row>
    <row r="27" spans="2:16" s="4" customFormat="1" ht="16.95" customHeight="1" x14ac:dyDescent="0.25"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 t="s">
        <v>183</v>
      </c>
      <c r="N27" s="49">
        <v>1</v>
      </c>
      <c r="O27" s="49"/>
      <c r="P27" s="49"/>
    </row>
    <row r="28" spans="2:16" s="4" customFormat="1" ht="16.95" customHeight="1" x14ac:dyDescent="0.25"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133" t="s">
        <v>157</v>
      </c>
      <c r="N28" s="133">
        <v>7</v>
      </c>
      <c r="O28" s="49"/>
      <c r="P28" s="49"/>
    </row>
    <row r="29" spans="2:16" s="4" customFormat="1" ht="34.049999999999997" customHeight="1" thickBot="1" x14ac:dyDescent="0.3"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66" t="s">
        <v>4</v>
      </c>
      <c r="N29" s="80" t="s">
        <v>162</v>
      </c>
      <c r="O29" s="80" t="s">
        <v>163</v>
      </c>
      <c r="P29" s="80" t="s">
        <v>164</v>
      </c>
    </row>
    <row r="30" spans="2:16" s="4" customFormat="1" ht="16.95" customHeight="1" x14ac:dyDescent="0.25"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50" t="s">
        <v>47</v>
      </c>
      <c r="N30" s="55">
        <f>H11/$D$2*$N$26</f>
        <v>8142657.5</v>
      </c>
      <c r="O30" s="55">
        <f>I11/$D$3*$N$27</f>
        <v>4187652.4285714286</v>
      </c>
      <c r="P30" s="55">
        <f>J11/$D$3</f>
        <v>775491.19047619042</v>
      </c>
    </row>
    <row r="31" spans="2:16" s="4" customFormat="1" ht="16.95" customHeight="1" x14ac:dyDescent="0.25"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52" t="s">
        <v>48</v>
      </c>
      <c r="N31" s="58">
        <f>H12/$D$2*$N$26</f>
        <v>69708.333333333328</v>
      </c>
      <c r="O31" s="58">
        <f>I12/$D$3*$N$27</f>
        <v>35850</v>
      </c>
      <c r="P31" s="58">
        <f>J12/$D$3</f>
        <v>0</v>
      </c>
    </row>
    <row r="32" spans="2:16" s="4" customFormat="1" ht="16.95" customHeight="1" x14ac:dyDescent="0.25"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52" t="s">
        <v>160</v>
      </c>
      <c r="N32" s="58">
        <f>H13/$D$2*$N$26</f>
        <v>315000</v>
      </c>
      <c r="O32" s="58">
        <f>I13/$D$3*$N$27</f>
        <v>162000</v>
      </c>
      <c r="P32" s="58">
        <f>J13/$D$3</f>
        <v>0</v>
      </c>
    </row>
    <row r="33" spans="2:16" s="4" customFormat="1" ht="16.95" customHeight="1" thickBot="1" x14ac:dyDescent="0.3"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63" t="s">
        <v>45</v>
      </c>
      <c r="N33" s="64">
        <f>H14/$D$2*$N$26</f>
        <v>150000</v>
      </c>
      <c r="O33" s="64">
        <f>I14/$D$3*$N$27</f>
        <v>77142.857142857145</v>
      </c>
      <c r="P33" s="64">
        <f>J14/$D$3</f>
        <v>0</v>
      </c>
    </row>
    <row r="34" spans="2:16" s="4" customFormat="1" ht="16.95" customHeight="1" thickTop="1" x14ac:dyDescent="0.25"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98" t="s">
        <v>17</v>
      </c>
      <c r="N34" s="85">
        <f>N30+N31+N32+N33</f>
        <v>8677365.8333333321</v>
      </c>
      <c r="O34" s="85">
        <f t="shared" ref="O34:P34" si="0">O30+O31+O32+O33</f>
        <v>4462645.2857142864</v>
      </c>
      <c r="P34" s="85">
        <f t="shared" si="0"/>
        <v>775491.19047619042</v>
      </c>
    </row>
    <row r="35" spans="2:16" s="4" customFormat="1" ht="16.95" customHeight="1" x14ac:dyDescent="0.25"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186" t="s">
        <v>208</v>
      </c>
      <c r="N35" s="222">
        <f>N34+O34+P34</f>
        <v>13915502.30952381</v>
      </c>
      <c r="O35" s="279"/>
      <c r="P35" s="280"/>
    </row>
    <row r="36" spans="2:16" s="4" customFormat="1" ht="16.95" customHeight="1" x14ac:dyDescent="0.25"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</row>
    <row r="37" spans="2:16" s="4" customFormat="1" ht="16.95" customHeight="1" x14ac:dyDescent="0.25"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 t="s">
        <v>183</v>
      </c>
      <c r="N37" s="49">
        <v>6</v>
      </c>
      <c r="O37" s="49"/>
      <c r="P37" s="49"/>
    </row>
    <row r="38" spans="2:16" s="4" customFormat="1" ht="16.95" customHeight="1" x14ac:dyDescent="0.25"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133" t="s">
        <v>157</v>
      </c>
      <c r="N38" s="133">
        <v>8</v>
      </c>
      <c r="O38" s="49"/>
      <c r="P38" s="49"/>
    </row>
    <row r="39" spans="2:16" s="4" customFormat="1" ht="34.049999999999997" customHeight="1" thickBot="1" x14ac:dyDescent="0.3"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66" t="s">
        <v>4</v>
      </c>
      <c r="N39" s="80" t="s">
        <v>163</v>
      </c>
      <c r="O39" s="80" t="s">
        <v>164</v>
      </c>
      <c r="P39" s="49"/>
    </row>
    <row r="40" spans="2:16" s="4" customFormat="1" ht="16.95" customHeight="1" x14ac:dyDescent="0.25"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50" t="s">
        <v>47</v>
      </c>
      <c r="N40" s="55">
        <f t="shared" ref="N40:O43" si="1">I11/$D$3*$N$37</f>
        <v>25125914.571428571</v>
      </c>
      <c r="O40" s="55">
        <f t="shared" si="1"/>
        <v>4652947.1428571427</v>
      </c>
      <c r="P40" s="49"/>
    </row>
    <row r="41" spans="2:16" s="4" customFormat="1" ht="16.95" customHeight="1" x14ac:dyDescent="0.25"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2" t="s">
        <v>48</v>
      </c>
      <c r="N41" s="58">
        <f t="shared" si="1"/>
        <v>215100</v>
      </c>
      <c r="O41" s="58">
        <f t="shared" si="1"/>
        <v>0</v>
      </c>
      <c r="P41" s="49"/>
    </row>
    <row r="42" spans="2:16" s="4" customFormat="1" ht="16.95" customHeight="1" x14ac:dyDescent="0.25"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2" t="s">
        <v>160</v>
      </c>
      <c r="N42" s="58">
        <f t="shared" si="1"/>
        <v>972000</v>
      </c>
      <c r="O42" s="58">
        <f t="shared" si="1"/>
        <v>0</v>
      </c>
      <c r="P42" s="49"/>
    </row>
    <row r="43" spans="2:16" s="4" customFormat="1" ht="16.95" customHeight="1" thickBot="1" x14ac:dyDescent="0.3"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63" t="s">
        <v>45</v>
      </c>
      <c r="N43" s="64">
        <f t="shared" si="1"/>
        <v>462857.14285714284</v>
      </c>
      <c r="O43" s="64">
        <f t="shared" si="1"/>
        <v>0</v>
      </c>
      <c r="P43" s="49"/>
    </row>
    <row r="44" spans="2:16" s="4" customFormat="1" ht="16.95" customHeight="1" thickTop="1" x14ac:dyDescent="0.25"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98" t="s">
        <v>17</v>
      </c>
      <c r="N44" s="85">
        <f>N40+N41+N42+N43</f>
        <v>26775871.714285713</v>
      </c>
      <c r="O44" s="85">
        <f>O40+O41+O42+O43</f>
        <v>4652947.1428571427</v>
      </c>
      <c r="P44" s="49"/>
    </row>
    <row r="45" spans="2:16" s="4" customFormat="1" ht="16.95" customHeight="1" x14ac:dyDescent="0.25"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186" t="s">
        <v>209</v>
      </c>
      <c r="N45" s="222">
        <f>N44+O44</f>
        <v>31428818.857142854</v>
      </c>
      <c r="O45" s="222"/>
      <c r="P45" s="49"/>
    </row>
    <row r="46" spans="2:16" s="4" customFormat="1" ht="16.95" customHeight="1" x14ac:dyDescent="0.25"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</row>
    <row r="47" spans="2:16" s="4" customFormat="1" ht="16.95" customHeight="1" x14ac:dyDescent="0.25"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133" t="s">
        <v>166</v>
      </c>
      <c r="N47" s="135">
        <f>N15+N24+N34+O34+P34+N44+O44</f>
        <v>57492633.333333336</v>
      </c>
      <c r="O47" s="49"/>
      <c r="P47" s="49"/>
    </row>
    <row r="48" spans="2:16" s="4" customFormat="1" ht="15" customHeight="1" x14ac:dyDescent="0.25"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</row>
    <row r="49" s="4" customFormat="1" ht="13.8" x14ac:dyDescent="0.25"/>
    <row r="50" s="4" customFormat="1" ht="13.8" x14ac:dyDescent="0.25"/>
    <row r="51" s="4" customFormat="1" ht="13.8" x14ac:dyDescent="0.25"/>
    <row r="52" s="4" customFormat="1" ht="13.8" x14ac:dyDescent="0.25"/>
    <row r="53" s="4" customFormat="1" ht="13.8" x14ac:dyDescent="0.25"/>
    <row r="54" s="4" customFormat="1" ht="13.8" x14ac:dyDescent="0.25"/>
    <row r="55" s="4" customFormat="1" ht="13.8" x14ac:dyDescent="0.25"/>
    <row r="56" s="4" customFormat="1" ht="13.8" x14ac:dyDescent="0.25"/>
    <row r="57" s="4" customFormat="1" ht="13.8" x14ac:dyDescent="0.25"/>
    <row r="58" s="4" customFormat="1" ht="13.8" x14ac:dyDescent="0.25"/>
    <row r="59" s="4" customFormat="1" ht="13.8" x14ac:dyDescent="0.25"/>
    <row r="60" s="4" customFormat="1" ht="13.8" x14ac:dyDescent="0.25"/>
    <row r="61" s="4" customFormat="1" ht="13.8" x14ac:dyDescent="0.25"/>
    <row r="62" s="4" customFormat="1" ht="13.8" x14ac:dyDescent="0.25"/>
  </sheetData>
  <mergeCells count="1">
    <mergeCell ref="O35:P3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1"/>
  <sheetViews>
    <sheetView topLeftCell="W1" zoomScale="70" zoomScaleNormal="70" workbookViewId="0">
      <selection activeCell="AF27" sqref="AF27"/>
    </sheetView>
  </sheetViews>
  <sheetFormatPr defaultRowHeight="14.4" x14ac:dyDescent="0.3"/>
  <cols>
    <col min="1" max="1" width="32.77734375" customWidth="1"/>
    <col min="2" max="10" width="14.77734375" customWidth="1"/>
    <col min="11" max="11" width="4" customWidth="1"/>
    <col min="12" max="12" width="8.109375" customWidth="1"/>
    <col min="13" max="13" width="15.6640625" customWidth="1"/>
    <col min="14" max="14" width="4.33203125" customWidth="1"/>
    <col min="15" max="15" width="32.77734375" customWidth="1"/>
    <col min="16" max="24" width="14.77734375" customWidth="1"/>
    <col min="25" max="25" width="1.44140625" customWidth="1"/>
    <col min="26" max="26" width="8.77734375" customWidth="1"/>
    <col min="27" max="27" width="15.77734375" customWidth="1"/>
    <col min="28" max="28" width="4" customWidth="1"/>
    <col min="29" max="29" width="35.77734375" customWidth="1"/>
    <col min="30" max="38" width="15.77734375" customWidth="1"/>
    <col min="39" max="39" width="17.44140625" customWidth="1"/>
    <col min="40" max="40" width="8.77734375" customWidth="1"/>
    <col min="41" max="41" width="9.44140625" customWidth="1"/>
    <col min="42" max="42" width="15.109375" customWidth="1"/>
  </cols>
  <sheetData>
    <row r="1" spans="1:41" s="4" customFormat="1" ht="13.8" x14ac:dyDescent="0.25">
      <c r="A1" s="131"/>
    </row>
    <row r="2" spans="1:41" s="4" customFormat="1" ht="13.8" x14ac:dyDescent="0.25">
      <c r="A2" s="131" t="s">
        <v>159</v>
      </c>
      <c r="C2" s="136"/>
      <c r="D2" s="4" t="s">
        <v>108</v>
      </c>
      <c r="G2" s="137"/>
      <c r="H2" s="137"/>
      <c r="O2" s="131" t="s">
        <v>159</v>
      </c>
      <c r="Q2" s="136"/>
      <c r="R2" s="4" t="s">
        <v>108</v>
      </c>
      <c r="U2" s="137"/>
      <c r="V2" s="137"/>
      <c r="AC2" s="131" t="s">
        <v>159</v>
      </c>
      <c r="AE2" s="136"/>
      <c r="AF2" s="4" t="s">
        <v>108</v>
      </c>
      <c r="AI2" s="137"/>
      <c r="AJ2" s="137"/>
    </row>
    <row r="3" spans="1:41" s="4" customFormat="1" ht="13.8" x14ac:dyDescent="0.25">
      <c r="A3" s="4" t="s">
        <v>64</v>
      </c>
      <c r="B3" s="136">
        <f>'Bytový dům B'!$Z$7</f>
        <v>57492633.333333328</v>
      </c>
      <c r="C3" s="136"/>
      <c r="D3" s="4" t="s">
        <v>179</v>
      </c>
      <c r="F3" s="138">
        <v>0.05</v>
      </c>
      <c r="G3" s="136">
        <f>F3*B3</f>
        <v>2874631.6666666665</v>
      </c>
      <c r="H3" s="140"/>
      <c r="O3" s="4" t="s">
        <v>64</v>
      </c>
      <c r="P3" s="136">
        <f>'Bytový dům B'!$Z$7</f>
        <v>57492633.333333328</v>
      </c>
      <c r="Q3" s="136"/>
      <c r="R3" s="4" t="s">
        <v>179</v>
      </c>
      <c r="T3" s="138">
        <v>0.05</v>
      </c>
      <c r="U3" s="136">
        <f>T3*P3</f>
        <v>2874631.6666666665</v>
      </c>
      <c r="V3" s="140"/>
      <c r="AC3" s="4" t="s">
        <v>64</v>
      </c>
      <c r="AD3" s="136">
        <f>'Bytový dům B'!$Z$7</f>
        <v>57492633.333333328</v>
      </c>
      <c r="AE3" s="136"/>
      <c r="AF3" s="4" t="s">
        <v>179</v>
      </c>
      <c r="AH3" s="138">
        <v>0.05</v>
      </c>
      <c r="AI3" s="136">
        <f>AH3*AD3</f>
        <v>2874631.6666666665</v>
      </c>
      <c r="AJ3" s="140"/>
    </row>
    <row r="4" spans="1:41" s="4" customFormat="1" ht="13.8" x14ac:dyDescent="0.25">
      <c r="A4" s="4" t="s">
        <v>181</v>
      </c>
      <c r="B4" s="180">
        <v>12</v>
      </c>
      <c r="C4" s="136"/>
      <c r="D4" s="4" t="s">
        <v>180</v>
      </c>
      <c r="F4" s="138">
        <v>5.0000000000000001E-3</v>
      </c>
      <c r="G4" s="179">
        <f>F4*B3</f>
        <v>287463.16666666663</v>
      </c>
      <c r="H4" s="140"/>
      <c r="O4" s="4" t="s">
        <v>181</v>
      </c>
      <c r="P4" s="180">
        <v>12</v>
      </c>
      <c r="Q4" s="136"/>
      <c r="R4" s="4" t="s">
        <v>180</v>
      </c>
      <c r="T4" s="138">
        <v>5.0000000000000001E-3</v>
      </c>
      <c r="U4" s="179">
        <f>T4*P3</f>
        <v>287463.16666666663</v>
      </c>
      <c r="V4" s="140"/>
      <c r="AC4" s="4" t="s">
        <v>181</v>
      </c>
      <c r="AD4" s="180">
        <v>12</v>
      </c>
      <c r="AE4" s="136"/>
      <c r="AF4" s="4" t="s">
        <v>180</v>
      </c>
      <c r="AH4" s="138">
        <v>5.0000000000000001E-3</v>
      </c>
      <c r="AI4" s="179">
        <f>AH4*AD3</f>
        <v>287463.16666666663</v>
      </c>
      <c r="AJ4" s="140"/>
    </row>
    <row r="5" spans="1:41" s="4" customFormat="1" ht="13.8" x14ac:dyDescent="0.25">
      <c r="A5" s="4" t="s">
        <v>66</v>
      </c>
      <c r="B5" s="180">
        <v>7</v>
      </c>
      <c r="C5" s="141"/>
      <c r="E5" s="142"/>
      <c r="F5" s="142"/>
      <c r="G5" s="139"/>
      <c r="H5" s="140"/>
      <c r="O5" s="4" t="s">
        <v>66</v>
      </c>
      <c r="P5" s="180">
        <v>7</v>
      </c>
      <c r="Q5" s="141"/>
      <c r="S5" s="142"/>
      <c r="T5" s="142"/>
      <c r="U5" s="139"/>
      <c r="V5" s="140"/>
      <c r="AC5" s="4" t="s">
        <v>66</v>
      </c>
      <c r="AD5" s="180">
        <v>12</v>
      </c>
      <c r="AE5" s="141"/>
      <c r="AG5" s="142"/>
      <c r="AH5" s="142"/>
      <c r="AI5" s="139"/>
      <c r="AJ5" s="140"/>
    </row>
    <row r="6" spans="1:41" s="4" customFormat="1" ht="13.8" x14ac:dyDescent="0.25">
      <c r="A6" s="140" t="s">
        <v>69</v>
      </c>
      <c r="B6" s="139">
        <v>7.0000000000000007E-2</v>
      </c>
      <c r="O6" s="140" t="s">
        <v>69</v>
      </c>
      <c r="P6" s="139">
        <v>7.0000000000000007E-2</v>
      </c>
      <c r="AC6" s="140" t="s">
        <v>69</v>
      </c>
      <c r="AD6" s="139">
        <v>7.0000000000000007E-2</v>
      </c>
    </row>
    <row r="7" spans="1:41" s="4" customFormat="1" ht="13.8" x14ac:dyDescent="0.25">
      <c r="A7" s="140"/>
      <c r="O7" s="140" t="s">
        <v>211</v>
      </c>
      <c r="P7" s="138">
        <v>3.9457819999999998E-2</v>
      </c>
      <c r="AC7" s="140"/>
      <c r="AD7" s="138"/>
    </row>
    <row r="8" spans="1:41" s="4" customFormat="1" ht="13.8" x14ac:dyDescent="0.25">
      <c r="A8" s="182" t="s">
        <v>214</v>
      </c>
      <c r="B8" s="175"/>
      <c r="O8" s="182" t="s">
        <v>216</v>
      </c>
      <c r="P8" s="262"/>
      <c r="AC8" s="182" t="s">
        <v>215</v>
      </c>
      <c r="AD8" s="262"/>
    </row>
    <row r="9" spans="1:41" s="4" customFormat="1" ht="16.95" customHeight="1" x14ac:dyDescent="0.25">
      <c r="A9" s="191" t="s">
        <v>81</v>
      </c>
      <c r="B9" s="171" t="s">
        <v>157</v>
      </c>
      <c r="C9" s="172">
        <v>1</v>
      </c>
      <c r="D9" s="173">
        <v>2</v>
      </c>
      <c r="E9" s="173">
        <v>3</v>
      </c>
      <c r="F9" s="173">
        <v>4</v>
      </c>
      <c r="G9" s="173">
        <v>5</v>
      </c>
      <c r="H9" s="173">
        <v>6</v>
      </c>
      <c r="I9" s="173">
        <v>7</v>
      </c>
      <c r="J9" s="173">
        <v>8</v>
      </c>
      <c r="O9" s="191" t="s">
        <v>81</v>
      </c>
      <c r="P9" s="171" t="s">
        <v>157</v>
      </c>
      <c r="Q9" s="172">
        <v>1</v>
      </c>
      <c r="R9" s="173">
        <v>2</v>
      </c>
      <c r="S9" s="173">
        <v>3</v>
      </c>
      <c r="T9" s="173">
        <v>4</v>
      </c>
      <c r="U9" s="173">
        <v>5</v>
      </c>
      <c r="V9" s="173">
        <v>6</v>
      </c>
      <c r="W9" s="173">
        <v>7</v>
      </c>
      <c r="X9" s="173">
        <v>8</v>
      </c>
      <c r="AC9" s="191" t="s">
        <v>81</v>
      </c>
      <c r="AD9" s="171" t="s">
        <v>157</v>
      </c>
      <c r="AE9" s="172">
        <v>1</v>
      </c>
      <c r="AF9" s="173">
        <v>2</v>
      </c>
      <c r="AG9" s="173">
        <v>3</v>
      </c>
      <c r="AH9" s="173">
        <v>4</v>
      </c>
      <c r="AI9" s="173">
        <v>5</v>
      </c>
      <c r="AJ9" s="173">
        <v>6</v>
      </c>
      <c r="AK9" s="173">
        <v>7</v>
      </c>
      <c r="AL9" s="173">
        <v>8</v>
      </c>
      <c r="AM9" s="173">
        <v>9</v>
      </c>
    </row>
    <row r="10" spans="1:41" s="4" customFormat="1" ht="16.95" customHeight="1" thickBot="1" x14ac:dyDescent="0.3">
      <c r="A10" s="144" t="s">
        <v>62</v>
      </c>
      <c r="B10" s="150" t="s">
        <v>158</v>
      </c>
      <c r="C10" s="164">
        <v>42552</v>
      </c>
      <c r="D10" s="165">
        <v>42736</v>
      </c>
      <c r="E10" s="165">
        <v>42917</v>
      </c>
      <c r="F10" s="165">
        <v>43101</v>
      </c>
      <c r="G10" s="165">
        <v>43282</v>
      </c>
      <c r="H10" s="165">
        <v>43466</v>
      </c>
      <c r="I10" s="165">
        <v>43647</v>
      </c>
      <c r="J10" s="165">
        <v>43831</v>
      </c>
      <c r="O10" s="144" t="s">
        <v>62</v>
      </c>
      <c r="P10" s="150" t="s">
        <v>158</v>
      </c>
      <c r="Q10" s="164">
        <v>42552</v>
      </c>
      <c r="R10" s="165">
        <v>42736</v>
      </c>
      <c r="S10" s="165">
        <v>42917</v>
      </c>
      <c r="T10" s="165">
        <v>43101</v>
      </c>
      <c r="U10" s="165">
        <v>43282</v>
      </c>
      <c r="V10" s="165">
        <v>43466</v>
      </c>
      <c r="W10" s="165">
        <v>43647</v>
      </c>
      <c r="X10" s="165">
        <v>43831</v>
      </c>
      <c r="AC10" s="144" t="s">
        <v>62</v>
      </c>
      <c r="AD10" s="150" t="s">
        <v>158</v>
      </c>
      <c r="AE10" s="164">
        <v>42552</v>
      </c>
      <c r="AF10" s="165">
        <v>42736</v>
      </c>
      <c r="AG10" s="165">
        <v>42917</v>
      </c>
      <c r="AH10" s="165">
        <v>43101</v>
      </c>
      <c r="AI10" s="165">
        <v>43282</v>
      </c>
      <c r="AJ10" s="165">
        <v>43466</v>
      </c>
      <c r="AK10" s="165">
        <v>43647</v>
      </c>
      <c r="AL10" s="165">
        <v>43831</v>
      </c>
      <c r="AM10" s="165">
        <v>44013</v>
      </c>
    </row>
    <row r="11" spans="1:41" s="4" customFormat="1" ht="16.95" customHeight="1" thickBot="1" x14ac:dyDescent="0.3">
      <c r="A11" s="151" t="s">
        <v>61</v>
      </c>
      <c r="B11" s="152">
        <f t="shared" ref="B11:B16" si="0">SUM(C11:J11)</f>
        <v>57492633.333333328</v>
      </c>
      <c r="C11" s="153">
        <f t="shared" ref="C11:J11" si="1">C12</f>
        <v>0</v>
      </c>
      <c r="D11" s="154">
        <f t="shared" si="1"/>
        <v>0</v>
      </c>
      <c r="E11" s="154">
        <f t="shared" si="1"/>
        <v>0</v>
      </c>
      <c r="F11" s="154">
        <f t="shared" si="1"/>
        <v>0</v>
      </c>
      <c r="G11" s="154">
        <f t="shared" si="1"/>
        <v>1735473.1666666667</v>
      </c>
      <c r="H11" s="154">
        <f t="shared" si="1"/>
        <v>10412839</v>
      </c>
      <c r="I11" s="154">
        <f t="shared" si="1"/>
        <v>13915502.30952381</v>
      </c>
      <c r="J11" s="154">
        <f t="shared" si="1"/>
        <v>31428818.857142854</v>
      </c>
      <c r="O11" s="151" t="s">
        <v>61</v>
      </c>
      <c r="P11" s="152">
        <f t="shared" ref="P11:P16" si="2">SUM(Q11:X11)</f>
        <v>57492633.333333328</v>
      </c>
      <c r="Q11" s="153">
        <f t="shared" ref="Q11:X11" si="3">Q12</f>
        <v>0</v>
      </c>
      <c r="R11" s="154">
        <f t="shared" si="3"/>
        <v>0</v>
      </c>
      <c r="S11" s="154">
        <f t="shared" si="3"/>
        <v>0</v>
      </c>
      <c r="T11" s="154">
        <f t="shared" si="3"/>
        <v>0</v>
      </c>
      <c r="U11" s="154">
        <f t="shared" si="3"/>
        <v>1735473.1666666667</v>
      </c>
      <c r="V11" s="154">
        <f t="shared" si="3"/>
        <v>10412839</v>
      </c>
      <c r="W11" s="154">
        <f t="shared" si="3"/>
        <v>13915502.30952381</v>
      </c>
      <c r="X11" s="154">
        <f t="shared" si="3"/>
        <v>31428818.857142854</v>
      </c>
      <c r="AC11" s="151" t="s">
        <v>61</v>
      </c>
      <c r="AD11" s="152">
        <f t="shared" ref="AD11:AD16" si="4">SUM(AE11:AM11)</f>
        <v>57492633.333333328</v>
      </c>
      <c r="AE11" s="153">
        <f t="shared" ref="AE11:AM11" si="5">AE12</f>
        <v>0</v>
      </c>
      <c r="AF11" s="154">
        <f t="shared" si="5"/>
        <v>0</v>
      </c>
      <c r="AG11" s="154">
        <f t="shared" si="5"/>
        <v>0</v>
      </c>
      <c r="AH11" s="154">
        <f t="shared" si="5"/>
        <v>0</v>
      </c>
      <c r="AI11" s="154">
        <f t="shared" si="5"/>
        <v>1464051.25</v>
      </c>
      <c r="AJ11" s="154">
        <f t="shared" si="5"/>
        <v>8784307.5</v>
      </c>
      <c r="AK11" s="154">
        <f t="shared" si="5"/>
        <v>10647257.777777778</v>
      </c>
      <c r="AL11" s="154">
        <f t="shared" si="5"/>
        <v>19962009.166666664</v>
      </c>
      <c r="AM11" s="154">
        <f t="shared" si="5"/>
        <v>16635007.638888888</v>
      </c>
    </row>
    <row r="12" spans="1:41" s="4" customFormat="1" ht="16.95" customHeight="1" thickBot="1" x14ac:dyDescent="0.3">
      <c r="A12" s="166" t="s">
        <v>176</v>
      </c>
      <c r="B12" s="169">
        <f t="shared" si="0"/>
        <v>57492633.333333328</v>
      </c>
      <c r="C12" s="155">
        <v>0</v>
      </c>
      <c r="D12" s="156">
        <v>0</v>
      </c>
      <c r="E12" s="156">
        <v>0</v>
      </c>
      <c r="F12" s="156">
        <v>0</v>
      </c>
      <c r="G12" s="156">
        <f>'Scénář prodeje'!$N$15</f>
        <v>1735473.1666666667</v>
      </c>
      <c r="H12" s="156">
        <f>'Scénář prodeje'!$N$24</f>
        <v>10412839</v>
      </c>
      <c r="I12" s="156">
        <f>'Scénář prodeje'!$N$34+'Scénář prodeje'!$O$34+'Scénář prodeje'!$P$34</f>
        <v>13915502.30952381</v>
      </c>
      <c r="J12" s="156">
        <f>'Scénář prodeje'!$N$44+'Scénář prodeje'!$O$44</f>
        <v>31428818.857142854</v>
      </c>
      <c r="L12" s="145"/>
      <c r="O12" s="166" t="s">
        <v>176</v>
      </c>
      <c r="P12" s="169">
        <f t="shared" si="2"/>
        <v>57492633.333333328</v>
      </c>
      <c r="Q12" s="155">
        <v>0</v>
      </c>
      <c r="R12" s="156">
        <v>0</v>
      </c>
      <c r="S12" s="156">
        <v>0</v>
      </c>
      <c r="T12" s="156">
        <v>0</v>
      </c>
      <c r="U12" s="156">
        <f>'Scénář prodeje'!$N$15</f>
        <v>1735473.1666666667</v>
      </c>
      <c r="V12" s="156">
        <f>'Scénář prodeje'!$N$24</f>
        <v>10412839</v>
      </c>
      <c r="W12" s="156">
        <f>'Scénář prodeje'!$N$34+'Scénář prodeje'!$O$34+'Scénář prodeje'!$P$34</f>
        <v>13915502.30952381</v>
      </c>
      <c r="X12" s="156">
        <f>'Scénář prodeje'!$N$44+'Scénář prodeje'!$O$44</f>
        <v>31428818.857142854</v>
      </c>
      <c r="Z12" s="145"/>
      <c r="AC12" s="166" t="s">
        <v>176</v>
      </c>
      <c r="AD12" s="169">
        <f t="shared" si="4"/>
        <v>57492633.333333328</v>
      </c>
      <c r="AE12" s="155">
        <v>0</v>
      </c>
      <c r="AF12" s="156">
        <v>0</v>
      </c>
      <c r="AG12" s="156">
        <v>0</v>
      </c>
      <c r="AH12" s="156">
        <v>0</v>
      </c>
      <c r="AI12" s="156">
        <f>'Pesimistický scénář prodeje'!N15</f>
        <v>1464051.25</v>
      </c>
      <c r="AJ12" s="156">
        <f>'Pesimistický scénář prodeje'!N24</f>
        <v>8784307.5</v>
      </c>
      <c r="AK12" s="156">
        <f>'Pesimistický scénář prodeje'!N35</f>
        <v>10647257.777777778</v>
      </c>
      <c r="AL12" s="156">
        <f>'Pesimistický scénář prodeje'!N45</f>
        <v>19962009.166666664</v>
      </c>
      <c r="AM12" s="156">
        <f>'Pesimistický scénář prodeje'!N55</f>
        <v>16635007.638888888</v>
      </c>
      <c r="AO12" s="145"/>
    </row>
    <row r="13" spans="1:41" s="4" customFormat="1" ht="16.95" customHeight="1" thickBot="1" x14ac:dyDescent="0.3">
      <c r="A13" s="157" t="s">
        <v>60</v>
      </c>
      <c r="B13" s="158">
        <f t="shared" si="0"/>
        <v>47583840.476666659</v>
      </c>
      <c r="C13" s="159">
        <f t="shared" ref="C13:J13" si="6">SUM(C14:C15)</f>
        <v>9554981.5512195081</v>
      </c>
      <c r="D13" s="160">
        <f t="shared" si="6"/>
        <v>441111.30121951218</v>
      </c>
      <c r="E13" s="160">
        <f t="shared" si="6"/>
        <v>537380.30121951224</v>
      </c>
      <c r="F13" s="160">
        <f t="shared" si="6"/>
        <v>901959.05121951224</v>
      </c>
      <c r="G13" s="160">
        <f t="shared" si="6"/>
        <v>3126020.4978861781</v>
      </c>
      <c r="H13" s="160">
        <f t="shared" si="6"/>
        <v>15973898.73121951</v>
      </c>
      <c r="I13" s="160">
        <f t="shared" si="6"/>
        <v>15449535.599825783</v>
      </c>
      <c r="J13" s="160">
        <f t="shared" si="6"/>
        <v>1598953.4428571428</v>
      </c>
      <c r="O13" s="157" t="s">
        <v>60</v>
      </c>
      <c r="P13" s="158">
        <f t="shared" si="2"/>
        <v>49347968.390234053</v>
      </c>
      <c r="Q13" s="159">
        <f t="shared" ref="Q13:X13" si="7">SUM(Q14:Q15)</f>
        <v>9932000.2933708485</v>
      </c>
      <c r="R13" s="160">
        <f t="shared" si="7"/>
        <v>458516.59154299746</v>
      </c>
      <c r="S13" s="160">
        <f t="shared" si="7"/>
        <v>558584.15641657752</v>
      </c>
      <c r="T13" s="160">
        <f t="shared" si="7"/>
        <v>937548.38910990255</v>
      </c>
      <c r="U13" s="160">
        <f t="shared" si="7"/>
        <v>3245942.552616823</v>
      </c>
      <c r="V13" s="160">
        <f t="shared" si="7"/>
        <v>16583650.555706648</v>
      </c>
      <c r="W13" s="160">
        <f t="shared" si="7"/>
        <v>16031686.825340362</v>
      </c>
      <c r="X13" s="160">
        <f t="shared" si="7"/>
        <v>1600039.0261298928</v>
      </c>
      <c r="AC13" s="157" t="s">
        <v>60</v>
      </c>
      <c r="AD13" s="158">
        <f t="shared" si="4"/>
        <v>47583840.476666667</v>
      </c>
      <c r="AE13" s="159">
        <f t="shared" ref="AE13:AL13" si="8">SUM(AE14:AE15)</f>
        <v>9554981.5512195081</v>
      </c>
      <c r="AF13" s="160">
        <f t="shared" si="8"/>
        <v>441111.30121951218</v>
      </c>
      <c r="AG13" s="160">
        <f t="shared" si="8"/>
        <v>537380.30121951224</v>
      </c>
      <c r="AH13" s="160">
        <f t="shared" si="8"/>
        <v>901959.05121951224</v>
      </c>
      <c r="AI13" s="160">
        <f t="shared" si="8"/>
        <v>3112449.4020528449</v>
      </c>
      <c r="AJ13" s="160">
        <f t="shared" si="8"/>
        <v>15892472.15621951</v>
      </c>
      <c r="AK13" s="160">
        <f t="shared" si="8"/>
        <v>15286123.37323848</v>
      </c>
      <c r="AL13" s="160">
        <f t="shared" si="8"/>
        <v>1025612.9583333333</v>
      </c>
      <c r="AM13" s="160">
        <f t="shared" ref="AM13" si="9">SUM(AM14:AM15)</f>
        <v>831750.3819444445</v>
      </c>
    </row>
    <row r="14" spans="1:41" s="4" customFormat="1" ht="16.95" customHeight="1" x14ac:dyDescent="0.25">
      <c r="A14" s="166" t="s">
        <v>59</v>
      </c>
      <c r="B14" s="169">
        <f t="shared" si="0"/>
        <v>44709208.809999995</v>
      </c>
      <c r="C14" s="155">
        <f>Harmonogram!E32</f>
        <v>9554981.5512195081</v>
      </c>
      <c r="D14" s="156">
        <f>Harmonogram!K32</f>
        <v>441111.30121951218</v>
      </c>
      <c r="E14" s="156">
        <f>Harmonogram!Q32</f>
        <v>537380.30121951224</v>
      </c>
      <c r="F14" s="156">
        <f>Harmonogram!W32</f>
        <v>901959.05121951224</v>
      </c>
      <c r="G14" s="156">
        <f>Harmonogram!AC32</f>
        <v>3039246.8395528449</v>
      </c>
      <c r="H14" s="156">
        <f>Harmonogram!AI32</f>
        <v>15453256.78121951</v>
      </c>
      <c r="I14" s="156">
        <f>Harmonogram!AO32</f>
        <v>14753760.484349592</v>
      </c>
      <c r="J14" s="156">
        <f>Harmonogram!AU32</f>
        <v>27512.5</v>
      </c>
      <c r="L14" s="145"/>
      <c r="O14" s="166" t="s">
        <v>59</v>
      </c>
      <c r="P14" s="169">
        <f t="shared" si="2"/>
        <v>46473336.723567382</v>
      </c>
      <c r="Q14" s="155">
        <f>Harmonogram!E32+Harmonogram!E32*P7</f>
        <v>9932000.2933708485</v>
      </c>
      <c r="R14" s="156">
        <f>Harmonogram!K32+Harmonogram!K32*P7</f>
        <v>458516.59154299746</v>
      </c>
      <c r="S14" s="156">
        <f>Harmonogram!Q32+Harmonogram!Q32*P7</f>
        <v>558584.15641657752</v>
      </c>
      <c r="T14" s="156">
        <f>Harmonogram!W32+Harmonogram!W32*P7</f>
        <v>937548.38910990255</v>
      </c>
      <c r="U14" s="156">
        <f>Harmonogram!AC32+Harmonogram!AC32*P7</f>
        <v>3159168.8942834898</v>
      </c>
      <c r="V14" s="156">
        <f>Harmonogram!AI32+Harmonogram!AI32*P7</f>
        <v>16063008.605706649</v>
      </c>
      <c r="W14" s="156">
        <f>Harmonogram!AO32+Harmonogram!AO32*P7</f>
        <v>15335911.709864171</v>
      </c>
      <c r="X14" s="156">
        <f>Harmonogram!AU32+Harmonogram!AU32*P7</f>
        <v>28598.083272749998</v>
      </c>
      <c r="Z14" s="145"/>
      <c r="AC14" s="166" t="s">
        <v>59</v>
      </c>
      <c r="AD14" s="169">
        <f t="shared" si="4"/>
        <v>44709208.809999995</v>
      </c>
      <c r="AE14" s="155">
        <f>Harmonogram!E32</f>
        <v>9554981.5512195081</v>
      </c>
      <c r="AF14" s="156">
        <f>Harmonogram!K32</f>
        <v>441111.30121951218</v>
      </c>
      <c r="AG14" s="156">
        <f>Harmonogram!Q32</f>
        <v>537380.30121951224</v>
      </c>
      <c r="AH14" s="156">
        <f>Harmonogram!W32</f>
        <v>901959.05121951224</v>
      </c>
      <c r="AI14" s="156">
        <f>Harmonogram!AC32</f>
        <v>3039246.8395528449</v>
      </c>
      <c r="AJ14" s="156">
        <f>Harmonogram!AI32</f>
        <v>15453256.78121951</v>
      </c>
      <c r="AK14" s="156">
        <f>Harmonogram!AO32</f>
        <v>14753760.484349592</v>
      </c>
      <c r="AL14" s="156">
        <f>Harmonogram!AU32</f>
        <v>27512.5</v>
      </c>
      <c r="AM14" s="156">
        <v>0</v>
      </c>
      <c r="AO14" s="145"/>
    </row>
    <row r="15" spans="1:41" s="4" customFormat="1" ht="16.95" customHeight="1" x14ac:dyDescent="0.25">
      <c r="A15" s="167" t="s">
        <v>58</v>
      </c>
      <c r="B15" s="170">
        <f t="shared" si="0"/>
        <v>2874631.666666667</v>
      </c>
      <c r="C15" s="161">
        <v>0</v>
      </c>
      <c r="D15" s="162">
        <v>0</v>
      </c>
      <c r="E15" s="162">
        <v>0</v>
      </c>
      <c r="F15" s="162">
        <v>0</v>
      </c>
      <c r="G15" s="162">
        <f>$G$12*$F$3</f>
        <v>86773.65833333334</v>
      </c>
      <c r="H15" s="162">
        <f>$H$12*$F$3</f>
        <v>520641.95</v>
      </c>
      <c r="I15" s="162">
        <f>$I$12*$F$3</f>
        <v>695775.11547619058</v>
      </c>
      <c r="J15" s="162">
        <f>$J$12*$F$3</f>
        <v>1571440.9428571428</v>
      </c>
      <c r="L15" s="145"/>
      <c r="O15" s="167" t="s">
        <v>58</v>
      </c>
      <c r="P15" s="170">
        <f t="shared" si="2"/>
        <v>2874631.666666667</v>
      </c>
      <c r="Q15" s="161">
        <v>0</v>
      </c>
      <c r="R15" s="162">
        <v>0</v>
      </c>
      <c r="S15" s="162">
        <v>0</v>
      </c>
      <c r="T15" s="162">
        <v>0</v>
      </c>
      <c r="U15" s="162">
        <f>U12*$T$3</f>
        <v>86773.65833333334</v>
      </c>
      <c r="V15" s="162">
        <f>V12*$T$3</f>
        <v>520641.95</v>
      </c>
      <c r="W15" s="162">
        <f>W12*$T$3</f>
        <v>695775.11547619058</v>
      </c>
      <c r="X15" s="162">
        <f>X12*$T$3</f>
        <v>1571440.9428571428</v>
      </c>
      <c r="Z15" s="145"/>
      <c r="AC15" s="167" t="s">
        <v>58</v>
      </c>
      <c r="AD15" s="170">
        <f t="shared" si="4"/>
        <v>2874631.6666666665</v>
      </c>
      <c r="AE15" s="161">
        <v>0</v>
      </c>
      <c r="AF15" s="162">
        <v>0</v>
      </c>
      <c r="AG15" s="162">
        <v>0</v>
      </c>
      <c r="AH15" s="162">
        <v>0</v>
      </c>
      <c r="AI15" s="162">
        <f>AI12*$AH$3</f>
        <v>73202.5625</v>
      </c>
      <c r="AJ15" s="162">
        <f>AJ12*$AH$3</f>
        <v>439215.375</v>
      </c>
      <c r="AK15" s="162">
        <f>AK12*$AH$3</f>
        <v>532362.88888888888</v>
      </c>
      <c r="AL15" s="162">
        <f>AL12*$AH$3</f>
        <v>998100.45833333326</v>
      </c>
      <c r="AM15" s="162">
        <f>AM12*$AH$3</f>
        <v>831750.3819444445</v>
      </c>
      <c r="AO15" s="145"/>
    </row>
    <row r="16" spans="1:41" s="4" customFormat="1" ht="16.95" customHeight="1" x14ac:dyDescent="0.25">
      <c r="A16" s="167" t="s">
        <v>167</v>
      </c>
      <c r="B16" s="170">
        <f t="shared" si="0"/>
        <v>287463.16666666663</v>
      </c>
      <c r="C16" s="161">
        <v>0</v>
      </c>
      <c r="D16" s="162">
        <v>0</v>
      </c>
      <c r="E16" s="162">
        <v>0</v>
      </c>
      <c r="F16" s="162">
        <v>0</v>
      </c>
      <c r="G16" s="162">
        <v>0</v>
      </c>
      <c r="H16" s="162">
        <v>0</v>
      </c>
      <c r="I16" s="162">
        <f>$G$4/7</f>
        <v>41066.166666666664</v>
      </c>
      <c r="J16" s="162">
        <f>$G$4*(6/7)</f>
        <v>246396.99999999994</v>
      </c>
      <c r="L16" s="145"/>
      <c r="O16" s="167" t="s">
        <v>167</v>
      </c>
      <c r="P16" s="170">
        <f t="shared" si="2"/>
        <v>287463.16666666663</v>
      </c>
      <c r="Q16" s="161">
        <v>0</v>
      </c>
      <c r="R16" s="162">
        <v>0</v>
      </c>
      <c r="S16" s="162">
        <v>0</v>
      </c>
      <c r="T16" s="162">
        <v>0</v>
      </c>
      <c r="U16" s="162">
        <v>0</v>
      </c>
      <c r="V16" s="162">
        <v>0</v>
      </c>
      <c r="W16" s="162">
        <f>$U$4/7</f>
        <v>41066.166666666664</v>
      </c>
      <c r="X16" s="162">
        <f>$U$4*(6/7)</f>
        <v>246396.99999999994</v>
      </c>
      <c r="Z16" s="145"/>
      <c r="AC16" s="167" t="s">
        <v>167</v>
      </c>
      <c r="AD16" s="170">
        <f t="shared" si="4"/>
        <v>287463.16666666663</v>
      </c>
      <c r="AE16" s="161">
        <v>0</v>
      </c>
      <c r="AF16" s="162">
        <v>0</v>
      </c>
      <c r="AG16" s="162">
        <v>0</v>
      </c>
      <c r="AH16" s="162">
        <v>0</v>
      </c>
      <c r="AI16" s="162">
        <v>0</v>
      </c>
      <c r="AJ16" s="162">
        <v>0</v>
      </c>
      <c r="AK16" s="162">
        <f>$AI$4/12</f>
        <v>23955.263888888887</v>
      </c>
      <c r="AL16" s="162">
        <f>$AI$4*(6/12)</f>
        <v>143731.58333333331</v>
      </c>
      <c r="AM16" s="162">
        <f>$AI$4*(5/12)</f>
        <v>119776.31944444444</v>
      </c>
      <c r="AO16" s="145"/>
    </row>
    <row r="17" spans="1:42" s="4" customFormat="1" ht="16.95" customHeight="1" x14ac:dyDescent="0.25">
      <c r="A17" s="168" t="s">
        <v>213</v>
      </c>
      <c r="B17" s="170">
        <v>0</v>
      </c>
      <c r="C17" s="161">
        <f>C12-C13</f>
        <v>-9554981.5512195081</v>
      </c>
      <c r="D17" s="161">
        <f t="shared" ref="D17:J17" si="10">D12-D13</f>
        <v>-441111.30121951218</v>
      </c>
      <c r="E17" s="161">
        <f t="shared" si="10"/>
        <v>-537380.30121951224</v>
      </c>
      <c r="F17" s="161">
        <f t="shared" si="10"/>
        <v>-901959.05121951224</v>
      </c>
      <c r="G17" s="161">
        <f t="shared" si="10"/>
        <v>-1390547.3312195113</v>
      </c>
      <c r="H17" s="161">
        <f t="shared" si="10"/>
        <v>-5561059.7312195096</v>
      </c>
      <c r="I17" s="161">
        <f t="shared" si="10"/>
        <v>-1534033.290301973</v>
      </c>
      <c r="J17" s="161">
        <f t="shared" si="10"/>
        <v>29829865.414285712</v>
      </c>
      <c r="L17" s="131" t="s">
        <v>57</v>
      </c>
      <c r="M17" s="146">
        <f>IRR(C17:J17)</f>
        <v>8.6078582701041961E-2</v>
      </c>
      <c r="N17" s="146"/>
      <c r="O17" s="168" t="s">
        <v>213</v>
      </c>
      <c r="P17" s="170">
        <v>0</v>
      </c>
      <c r="Q17" s="161">
        <f>Q12-Q13</f>
        <v>-9932000.2933708485</v>
      </c>
      <c r="R17" s="161">
        <f t="shared" ref="R17:X17" si="11">R12-R13</f>
        <v>-458516.59154299746</v>
      </c>
      <c r="S17" s="161">
        <f t="shared" si="11"/>
        <v>-558584.15641657752</v>
      </c>
      <c r="T17" s="161">
        <f t="shared" si="11"/>
        <v>-937548.38910990255</v>
      </c>
      <c r="U17" s="161">
        <f t="shared" si="11"/>
        <v>-1510469.3859501563</v>
      </c>
      <c r="V17" s="161">
        <f t="shared" si="11"/>
        <v>-6170811.5557066482</v>
      </c>
      <c r="W17" s="161">
        <f t="shared" si="11"/>
        <v>-2116184.5158165526</v>
      </c>
      <c r="X17" s="161">
        <f t="shared" si="11"/>
        <v>29828779.831012961</v>
      </c>
      <c r="Z17" s="131" t="s">
        <v>57</v>
      </c>
      <c r="AA17" s="146">
        <f>IRR(Q17:X17)</f>
        <v>7.0000004211510092E-2</v>
      </c>
      <c r="AC17" s="168" t="s">
        <v>213</v>
      </c>
      <c r="AD17" s="170">
        <v>0</v>
      </c>
      <c r="AE17" s="161">
        <f>AE12-AE13</f>
        <v>-9554981.5512195081</v>
      </c>
      <c r="AF17" s="161">
        <f t="shared" ref="AF17:AL17" si="12">AF12-AF13</f>
        <v>-441111.30121951218</v>
      </c>
      <c r="AG17" s="161">
        <f t="shared" si="12"/>
        <v>-537380.30121951224</v>
      </c>
      <c r="AH17" s="161">
        <f t="shared" si="12"/>
        <v>-901959.05121951224</v>
      </c>
      <c r="AI17" s="161">
        <f t="shared" si="12"/>
        <v>-1648398.1520528449</v>
      </c>
      <c r="AJ17" s="161">
        <f t="shared" si="12"/>
        <v>-7108164.6562195104</v>
      </c>
      <c r="AK17" s="161">
        <f t="shared" si="12"/>
        <v>-4638865.5954607017</v>
      </c>
      <c r="AL17" s="161">
        <f t="shared" si="12"/>
        <v>18936396.208333332</v>
      </c>
      <c r="AM17" s="161">
        <f t="shared" ref="AM17" si="13">AM12-AM13</f>
        <v>15803257.256944444</v>
      </c>
      <c r="AO17" s="131" t="s">
        <v>57</v>
      </c>
      <c r="AP17" s="146">
        <f>IRR(AE17:AM17)</f>
        <v>7.4216270719459354E-2</v>
      </c>
    </row>
    <row r="18" spans="1:42" s="4" customFormat="1" ht="16.95" customHeight="1" x14ac:dyDescent="0.25">
      <c r="A18" s="168" t="s">
        <v>154</v>
      </c>
      <c r="B18" s="170">
        <v>0</v>
      </c>
      <c r="C18" s="161">
        <f>C17</f>
        <v>-9554981.5512195081</v>
      </c>
      <c r="D18" s="162">
        <f>C18+D17</f>
        <v>-9996092.8524390198</v>
      </c>
      <c r="E18" s="162">
        <f>D18+E17</f>
        <v>-10533473.153658532</v>
      </c>
      <c r="F18" s="162">
        <f t="shared" ref="F18:J18" si="14">E18+F17</f>
        <v>-11435432.204878043</v>
      </c>
      <c r="G18" s="162">
        <f t="shared" si="14"/>
        <v>-12825979.536097554</v>
      </c>
      <c r="H18" s="162">
        <f t="shared" si="14"/>
        <v>-18387039.267317064</v>
      </c>
      <c r="I18" s="162">
        <f t="shared" si="14"/>
        <v>-19921072.557619035</v>
      </c>
      <c r="J18" s="162">
        <f t="shared" si="14"/>
        <v>9908792.8566666767</v>
      </c>
      <c r="L18" s="131" t="s">
        <v>56</v>
      </c>
      <c r="M18" s="147">
        <f>J20</f>
        <v>1266988.8515554294</v>
      </c>
      <c r="N18" s="147"/>
      <c r="O18" s="168" t="s">
        <v>154</v>
      </c>
      <c r="P18" s="170">
        <v>0</v>
      </c>
      <c r="Q18" s="161">
        <f>Q17</f>
        <v>-9932000.2933708485</v>
      </c>
      <c r="R18" s="162">
        <f>Q18+R17</f>
        <v>-10390516.884913847</v>
      </c>
      <c r="S18" s="162">
        <f>R18+S17</f>
        <v>-10949101.041330425</v>
      </c>
      <c r="T18" s="162">
        <f t="shared" ref="T18" si="15">S18+T17</f>
        <v>-11886649.430440327</v>
      </c>
      <c r="U18" s="162">
        <f t="shared" ref="U18" si="16">T18+U17</f>
        <v>-13397118.816390483</v>
      </c>
      <c r="V18" s="162">
        <f t="shared" ref="V18" si="17">U18+V17</f>
        <v>-19567930.372097131</v>
      </c>
      <c r="W18" s="162">
        <f t="shared" ref="W18" si="18">V18+W17</f>
        <v>-21684114.887913682</v>
      </c>
      <c r="X18" s="162">
        <f t="shared" ref="X18" si="19">W18+X17</f>
        <v>8144664.943099279</v>
      </c>
      <c r="Z18" s="131" t="s">
        <v>56</v>
      </c>
      <c r="AA18" s="147">
        <f>X20</f>
        <v>0.33570817112922668</v>
      </c>
      <c r="AC18" s="168" t="s">
        <v>154</v>
      </c>
      <c r="AD18" s="170">
        <v>0</v>
      </c>
      <c r="AE18" s="161">
        <f>AE17</f>
        <v>-9554981.5512195081</v>
      </c>
      <c r="AF18" s="162">
        <f>AE18+AF17</f>
        <v>-9996092.8524390198</v>
      </c>
      <c r="AG18" s="162">
        <f>AF18+AG17</f>
        <v>-10533473.153658532</v>
      </c>
      <c r="AH18" s="162">
        <f t="shared" ref="AH18" si="20">AG18+AH17</f>
        <v>-11435432.204878043</v>
      </c>
      <c r="AI18" s="162">
        <f t="shared" ref="AI18" si="21">AH18+AI17</f>
        <v>-13083830.356930889</v>
      </c>
      <c r="AJ18" s="162">
        <f t="shared" ref="AJ18" si="22">AI18+AJ17</f>
        <v>-20191995.013150401</v>
      </c>
      <c r="AK18" s="162">
        <f t="shared" ref="AK18" si="23">AJ18+AK17</f>
        <v>-24830860.608611103</v>
      </c>
      <c r="AL18" s="162">
        <f t="shared" ref="AL18:AM18" si="24">AK18+AL17</f>
        <v>-5894464.4002777711</v>
      </c>
      <c r="AM18" s="162">
        <f t="shared" si="24"/>
        <v>9908792.856666673</v>
      </c>
      <c r="AO18" s="131" t="s">
        <v>56</v>
      </c>
      <c r="AP18" s="147">
        <f>AM20</f>
        <v>374536.53372494876</v>
      </c>
    </row>
    <row r="19" spans="1:42" s="4" customFormat="1" ht="16.95" customHeight="1" x14ac:dyDescent="0.25">
      <c r="A19" s="168" t="s">
        <v>155</v>
      </c>
      <c r="B19" s="170">
        <v>0</v>
      </c>
      <c r="C19" s="161">
        <f>C17/(1+$B$6)^$C$9</f>
        <v>-8929889.3002051469</v>
      </c>
      <c r="D19" s="161">
        <f>D17/(1+$B$6)^$D$9</f>
        <v>-385283.69396411232</v>
      </c>
      <c r="E19" s="161">
        <f>E17/(1+$B$6)^$E$9</f>
        <v>-438662.39896845433</v>
      </c>
      <c r="F19" s="161">
        <f>F17/(1+$B$6)^$F$9</f>
        <v>-688100.24163829442</v>
      </c>
      <c r="G19" s="161">
        <f>G17/(1+$B$6)^$G$9</f>
        <v>-991441.02907741058</v>
      </c>
      <c r="H19" s="161">
        <f>H17/(1+$B$6)^$H$9</f>
        <v>-3705568.9080772656</v>
      </c>
      <c r="I19" s="161">
        <f>I17/(1+$B$6)^$I$9</f>
        <v>-955318.83557792369</v>
      </c>
      <c r="J19" s="161">
        <f>J17/(1+$B$6)^$J$9</f>
        <v>17361253.259064037</v>
      </c>
      <c r="L19" s="131" t="s">
        <v>120</v>
      </c>
      <c r="M19" s="131">
        <f>M18/B13</f>
        <v>2.6626452149794706E-2</v>
      </c>
      <c r="N19" s="131"/>
      <c r="O19" s="168" t="s">
        <v>155</v>
      </c>
      <c r="P19" s="170">
        <v>0</v>
      </c>
      <c r="Q19" s="161">
        <f>Q17/(1+$P$6)^Q9</f>
        <v>-9282243.2648325674</v>
      </c>
      <c r="R19" s="161">
        <f t="shared" ref="R19:X19" si="25">R17/(1+$P$6)^R9</f>
        <v>-400486.14860948332</v>
      </c>
      <c r="S19" s="161">
        <f t="shared" si="25"/>
        <v>-455971.06094771979</v>
      </c>
      <c r="T19" s="161">
        <f t="shared" si="25"/>
        <v>-715251.17711481475</v>
      </c>
      <c r="U19" s="161">
        <f t="shared" si="25"/>
        <v>-1076943.7967156444</v>
      </c>
      <c r="V19" s="161">
        <f t="shared" si="25"/>
        <v>-4111872.2947822013</v>
      </c>
      <c r="W19" s="161">
        <f t="shared" si="25"/>
        <v>-1317853.3610049265</v>
      </c>
      <c r="X19" s="161">
        <f t="shared" si="25"/>
        <v>17360621.439715531</v>
      </c>
      <c r="Z19" s="131" t="s">
        <v>120</v>
      </c>
      <c r="AA19" s="131">
        <f>AA18/P13</f>
        <v>6.8028772425748582E-9</v>
      </c>
      <c r="AC19" s="168" t="s">
        <v>155</v>
      </c>
      <c r="AD19" s="170">
        <v>0</v>
      </c>
      <c r="AE19" s="161">
        <f t="shared" ref="AE19:AM19" si="26">AE17/(1+$P$6)^AE9</f>
        <v>-8929889.3002051469</v>
      </c>
      <c r="AF19" s="161">
        <f t="shared" si="26"/>
        <v>-385283.69396411232</v>
      </c>
      <c r="AG19" s="161">
        <f t="shared" si="26"/>
        <v>-438662.39896845433</v>
      </c>
      <c r="AH19" s="161">
        <f t="shared" si="26"/>
        <v>-688100.24163829442</v>
      </c>
      <c r="AI19" s="161">
        <f t="shared" si="26"/>
        <v>-1175285.1007000969</v>
      </c>
      <c r="AJ19" s="161">
        <f t="shared" si="26"/>
        <v>-4736470.2442792449</v>
      </c>
      <c r="AK19" s="161">
        <f t="shared" si="26"/>
        <v>-2888852.3522104621</v>
      </c>
      <c r="AL19" s="161">
        <f t="shared" si="26"/>
        <v>11021155.000900872</v>
      </c>
      <c r="AM19" s="161">
        <f t="shared" si="26"/>
        <v>8595924.8647898883</v>
      </c>
      <c r="AO19" s="131" t="s">
        <v>120</v>
      </c>
      <c r="AP19" s="131">
        <f>AP18/AD13</f>
        <v>7.87108669609397E-3</v>
      </c>
    </row>
    <row r="20" spans="1:42" s="4" customFormat="1" ht="16.95" customHeight="1" x14ac:dyDescent="0.25">
      <c r="A20" s="168" t="s">
        <v>156</v>
      </c>
      <c r="B20" s="170">
        <v>0</v>
      </c>
      <c r="C20" s="161">
        <f>C19</f>
        <v>-8929889.3002051469</v>
      </c>
      <c r="D20" s="162">
        <f t="shared" ref="D20:J20" si="27">SUM(C20+D19)</f>
        <v>-9315172.9941692594</v>
      </c>
      <c r="E20" s="162">
        <f t="shared" si="27"/>
        <v>-9753835.3931377139</v>
      </c>
      <c r="F20" s="162">
        <f t="shared" si="27"/>
        <v>-10441935.634776007</v>
      </c>
      <c r="G20" s="162">
        <f t="shared" si="27"/>
        <v>-11433376.663853418</v>
      </c>
      <c r="H20" s="162">
        <f t="shared" si="27"/>
        <v>-15138945.571930684</v>
      </c>
      <c r="I20" s="162">
        <f t="shared" si="27"/>
        <v>-16094264.407508608</v>
      </c>
      <c r="J20" s="163">
        <f t="shared" si="27"/>
        <v>1266988.8515554294</v>
      </c>
      <c r="L20" s="131" t="s">
        <v>121</v>
      </c>
      <c r="M20" s="131">
        <v>8</v>
      </c>
      <c r="N20" s="131"/>
      <c r="O20" s="168" t="s">
        <v>156</v>
      </c>
      <c r="P20" s="170">
        <v>0</v>
      </c>
      <c r="Q20" s="161">
        <f>Q19</f>
        <v>-9282243.2648325674</v>
      </c>
      <c r="R20" s="162">
        <f t="shared" ref="R20" si="28">SUM(Q20+R19)</f>
        <v>-9682729.413442051</v>
      </c>
      <c r="S20" s="162">
        <f t="shared" ref="S20" si="29">SUM(R20+S19)</f>
        <v>-10138700.474389771</v>
      </c>
      <c r="T20" s="162">
        <f t="shared" ref="T20" si="30">SUM(S20+T19)</f>
        <v>-10853951.651504586</v>
      </c>
      <c r="U20" s="162">
        <f t="shared" ref="U20" si="31">SUM(T20+U19)</f>
        <v>-11930895.448220231</v>
      </c>
      <c r="V20" s="162">
        <f t="shared" ref="V20" si="32">SUM(U20+V19)</f>
        <v>-16042767.743002431</v>
      </c>
      <c r="W20" s="162">
        <f t="shared" ref="W20" si="33">SUM(V20+W19)</f>
        <v>-17360621.10400736</v>
      </c>
      <c r="X20" s="163">
        <f t="shared" ref="X20" si="34">SUM(W20+X19)</f>
        <v>0.33570817112922668</v>
      </c>
      <c r="Z20" s="131" t="s">
        <v>121</v>
      </c>
      <c r="AA20" s="131">
        <v>8</v>
      </c>
      <c r="AC20" s="168" t="s">
        <v>156</v>
      </c>
      <c r="AD20" s="170">
        <v>0</v>
      </c>
      <c r="AE20" s="161">
        <f>AE19</f>
        <v>-8929889.3002051469</v>
      </c>
      <c r="AF20" s="162">
        <f t="shared" ref="AF20" si="35">SUM(AE20+AF19)</f>
        <v>-9315172.9941692594</v>
      </c>
      <c r="AG20" s="162">
        <f t="shared" ref="AG20" si="36">SUM(AF20+AG19)</f>
        <v>-9753835.3931377139</v>
      </c>
      <c r="AH20" s="162">
        <f t="shared" ref="AH20" si="37">SUM(AG20+AH19)</f>
        <v>-10441935.634776007</v>
      </c>
      <c r="AI20" s="162">
        <f t="shared" ref="AI20" si="38">SUM(AH20+AI19)</f>
        <v>-11617220.735476105</v>
      </c>
      <c r="AJ20" s="162">
        <f t="shared" ref="AJ20" si="39">SUM(AI20+AJ19)</f>
        <v>-16353690.979755349</v>
      </c>
      <c r="AK20" s="162">
        <f t="shared" ref="AK20" si="40">SUM(AJ20+AK19)</f>
        <v>-19242543.331965812</v>
      </c>
      <c r="AL20" s="162">
        <f t="shared" ref="AL20:AM20" si="41">SUM(AK20+AL19)</f>
        <v>-8221388.3310649395</v>
      </c>
      <c r="AM20" s="163">
        <f t="shared" si="41"/>
        <v>374536.53372494876</v>
      </c>
      <c r="AO20" s="131" t="s">
        <v>121</v>
      </c>
      <c r="AP20" s="131">
        <v>8</v>
      </c>
    </row>
    <row r="21" spans="1:42" s="4" customFormat="1" ht="13.8" x14ac:dyDescent="0.25">
      <c r="A21" s="148"/>
      <c r="B21" s="140"/>
      <c r="C21" s="136"/>
    </row>
    <row r="22" spans="1:42" s="4" customFormat="1" ht="13.8" x14ac:dyDescent="0.25">
      <c r="A22" s="149"/>
      <c r="B22" s="140"/>
      <c r="C22" s="136"/>
    </row>
    <row r="23" spans="1:42" s="4" customFormat="1" ht="13.8" x14ac:dyDescent="0.25">
      <c r="A23" s="149"/>
      <c r="B23" s="140"/>
      <c r="C23" s="136"/>
    </row>
    <row r="24" spans="1:42" s="4" customFormat="1" ht="13.8" x14ac:dyDescent="0.25">
      <c r="A24" s="149"/>
      <c r="B24" s="140"/>
      <c r="C24" s="136"/>
    </row>
    <row r="25" spans="1:42" s="4" customFormat="1" ht="13.8" x14ac:dyDescent="0.25">
      <c r="A25" s="149"/>
      <c r="B25" s="140"/>
      <c r="C25" s="136"/>
    </row>
    <row r="26" spans="1:42" s="4" customFormat="1" ht="13.8" x14ac:dyDescent="0.25">
      <c r="A26" s="149"/>
      <c r="B26" s="140"/>
      <c r="C26" s="136"/>
    </row>
    <row r="27" spans="1:42" x14ac:dyDescent="0.3">
      <c r="A27" s="39"/>
      <c r="B27" s="41"/>
      <c r="C27" s="40"/>
    </row>
    <row r="28" spans="1:42" x14ac:dyDescent="0.3">
      <c r="A28" s="39"/>
      <c r="B28" s="41"/>
      <c r="C28" s="40"/>
    </row>
    <row r="29" spans="1:42" x14ac:dyDescent="0.3">
      <c r="A29" s="39"/>
      <c r="B29" s="41"/>
      <c r="C29" s="40"/>
    </row>
    <row r="30" spans="1:42" x14ac:dyDescent="0.3">
      <c r="A30" s="39"/>
      <c r="B30" s="41"/>
      <c r="C30" s="40"/>
    </row>
    <row r="31" spans="1:42" x14ac:dyDescent="0.3">
      <c r="A31" s="39"/>
      <c r="B31" s="41"/>
      <c r="C31" s="40"/>
    </row>
  </sheetData>
  <pageMargins left="0.7" right="0.7" top="0.78740157499999996" bottom="0.78740157499999996" header="0.3" footer="0.3"/>
  <pageSetup paperSize="9" orientation="portrait" r:id="rId1"/>
  <ignoredErrors>
    <ignoredError sqref="C19 Q1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2"/>
  <sheetViews>
    <sheetView workbookViewId="0">
      <selection activeCell="D19" sqref="D19"/>
    </sheetView>
  </sheetViews>
  <sheetFormatPr defaultRowHeight="14.4" x14ac:dyDescent="0.3"/>
  <cols>
    <col min="2" max="2" width="19.5546875" customWidth="1"/>
    <col min="3" max="3" width="16.77734375" customWidth="1"/>
    <col min="4" max="4" width="19.21875" customWidth="1"/>
    <col min="5" max="5" width="25" customWidth="1"/>
    <col min="7" max="7" width="20" customWidth="1"/>
    <col min="8" max="8" width="19.5546875" customWidth="1"/>
    <col min="9" max="9" width="23.109375" customWidth="1"/>
    <col min="10" max="10" width="21.77734375" customWidth="1"/>
    <col min="11" max="11" width="13.33203125" customWidth="1"/>
    <col min="13" max="13" width="26.44140625" customWidth="1"/>
    <col min="14" max="14" width="19.109375" customWidth="1"/>
    <col min="15" max="15" width="23.33203125" customWidth="1"/>
    <col min="16" max="16" width="23.21875" customWidth="1"/>
  </cols>
  <sheetData>
    <row r="1" spans="2:16" s="4" customFormat="1" ht="13.8" x14ac:dyDescent="0.25"/>
    <row r="2" spans="2:16" s="4" customFormat="1" ht="13.8" x14ac:dyDescent="0.25">
      <c r="B2" s="4" t="s">
        <v>65</v>
      </c>
      <c r="D2" s="180">
        <v>12</v>
      </c>
    </row>
    <row r="3" spans="2:16" s="4" customFormat="1" ht="13.8" x14ac:dyDescent="0.25">
      <c r="B3" s="4" t="s">
        <v>182</v>
      </c>
      <c r="D3" s="180">
        <v>12</v>
      </c>
    </row>
    <row r="4" spans="2:16" s="4" customFormat="1" ht="13.8" x14ac:dyDescent="0.25">
      <c r="B4" s="4" t="s">
        <v>67</v>
      </c>
      <c r="D4" s="183">
        <v>0.75</v>
      </c>
    </row>
    <row r="5" spans="2:16" s="4" customFormat="1" ht="13.8" x14ac:dyDescent="0.25">
      <c r="B5" s="4" t="s">
        <v>68</v>
      </c>
      <c r="D5" s="183">
        <v>0.25</v>
      </c>
    </row>
    <row r="6" spans="2:16" s="4" customFormat="1" ht="13.8" x14ac:dyDescent="0.25">
      <c r="B6" s="4" t="s">
        <v>70</v>
      </c>
      <c r="D6" s="183">
        <v>0.4</v>
      </c>
    </row>
    <row r="7" spans="2:16" s="4" customFormat="1" ht="13.8" x14ac:dyDescent="0.25">
      <c r="B7" s="4" t="s">
        <v>63</v>
      </c>
      <c r="D7" s="183">
        <v>0.6</v>
      </c>
    </row>
    <row r="8" spans="2:16" s="4" customFormat="1" ht="13.8" x14ac:dyDescent="0.25">
      <c r="D8" s="183"/>
      <c r="M8" s="4" t="s">
        <v>161</v>
      </c>
      <c r="N8" s="4">
        <v>1</v>
      </c>
    </row>
    <row r="9" spans="2:16" s="4" customFormat="1" ht="13.8" x14ac:dyDescent="0.25">
      <c r="B9" s="49" t="s">
        <v>217</v>
      </c>
      <c r="C9" s="49"/>
      <c r="D9" s="49"/>
      <c r="E9" s="49"/>
      <c r="F9" s="49"/>
      <c r="G9" s="49" t="s">
        <v>186</v>
      </c>
      <c r="H9" s="49"/>
      <c r="I9" s="49"/>
      <c r="J9" s="49"/>
      <c r="K9" s="49"/>
      <c r="L9" s="49"/>
      <c r="M9" s="133" t="s">
        <v>157</v>
      </c>
      <c r="N9" s="133">
        <v>5</v>
      </c>
      <c r="O9" s="49"/>
      <c r="P9" s="49"/>
    </row>
    <row r="10" spans="2:16" s="4" customFormat="1" ht="34.049999999999997" customHeight="1" thickBot="1" x14ac:dyDescent="0.3">
      <c r="B10" s="66" t="s">
        <v>4</v>
      </c>
      <c r="C10" s="80" t="s">
        <v>174</v>
      </c>
      <c r="D10" s="80" t="s">
        <v>204</v>
      </c>
      <c r="E10" s="80" t="s">
        <v>175</v>
      </c>
      <c r="F10" s="49"/>
      <c r="G10" s="66" t="s">
        <v>4</v>
      </c>
      <c r="H10" s="66" t="s">
        <v>162</v>
      </c>
      <c r="I10" s="80" t="s">
        <v>163</v>
      </c>
      <c r="J10" s="80" t="s">
        <v>164</v>
      </c>
      <c r="K10" s="80" t="s">
        <v>165</v>
      </c>
      <c r="L10" s="49"/>
      <c r="M10" s="66" t="s">
        <v>4</v>
      </c>
      <c r="N10" s="66" t="s">
        <v>162</v>
      </c>
      <c r="O10" s="132"/>
      <c r="P10" s="132"/>
    </row>
    <row r="11" spans="2:16" s="4" customFormat="1" ht="16.95" customHeight="1" x14ac:dyDescent="0.25">
      <c r="B11" s="50" t="s">
        <v>47</v>
      </c>
      <c r="C11" s="6">
        <v>20</v>
      </c>
      <c r="D11" s="6">
        <f>D4*C11</f>
        <v>15</v>
      </c>
      <c r="E11" s="6">
        <f>C11-D11</f>
        <v>5</v>
      </c>
      <c r="F11" s="49"/>
      <c r="G11" s="50" t="s">
        <v>47</v>
      </c>
      <c r="H11" s="55">
        <f>'Bytový dům B'!G24/20*'Pesimistický scénář prodeje'!D11*D6</f>
        <v>16285315</v>
      </c>
      <c r="I11" s="55">
        <f>'Bytový dům B'!G24/20*'Pesimistický scénář prodeje'!D11*D7</f>
        <v>24427972.5</v>
      </c>
      <c r="J11" s="55">
        <f>'Bytový dům B'!G24/20*'Pesimistický scénář prodeje'!E11</f>
        <v>13571095.833333332</v>
      </c>
      <c r="K11" s="55">
        <f>H11+I11+J11</f>
        <v>54284383.333333328</v>
      </c>
      <c r="L11" s="49"/>
      <c r="M11" s="50" t="s">
        <v>47</v>
      </c>
      <c r="N11" s="55">
        <f>H11/D2*$N$8</f>
        <v>1357109.5833333333</v>
      </c>
      <c r="O11" s="134"/>
      <c r="P11" s="134"/>
    </row>
    <row r="12" spans="2:16" s="4" customFormat="1" ht="16.95" customHeight="1" x14ac:dyDescent="0.25">
      <c r="B12" s="52" t="s">
        <v>48</v>
      </c>
      <c r="C12" s="195">
        <v>5</v>
      </c>
      <c r="D12" s="195">
        <v>5</v>
      </c>
      <c r="E12" s="195">
        <f>C12-D12</f>
        <v>0</v>
      </c>
      <c r="F12" s="49"/>
      <c r="G12" s="52" t="s">
        <v>48</v>
      </c>
      <c r="H12" s="58">
        <f>'Bytový dům B'!R9/5*D12*D6</f>
        <v>167300</v>
      </c>
      <c r="I12" s="58">
        <f>'Bytový dům B'!R9/5*D12*D7</f>
        <v>250950</v>
      </c>
      <c r="J12" s="58">
        <v>0</v>
      </c>
      <c r="K12" s="58">
        <f>H12+I12+J12</f>
        <v>418250</v>
      </c>
      <c r="L12" s="49"/>
      <c r="M12" s="52" t="s">
        <v>48</v>
      </c>
      <c r="N12" s="58">
        <f>H12/D2</f>
        <v>13941.666666666666</v>
      </c>
      <c r="O12" s="134"/>
      <c r="P12" s="134"/>
    </row>
    <row r="13" spans="2:16" s="4" customFormat="1" ht="16.95" customHeight="1" x14ac:dyDescent="0.25">
      <c r="B13" s="52" t="s">
        <v>160</v>
      </c>
      <c r="C13" s="195">
        <v>9</v>
      </c>
      <c r="D13" s="195">
        <v>9</v>
      </c>
      <c r="E13" s="195">
        <f>C13-D13</f>
        <v>0</v>
      </c>
      <c r="F13" s="49"/>
      <c r="G13" s="52" t="s">
        <v>160</v>
      </c>
      <c r="H13" s="58">
        <f>'Bytový dům B'!U4*D13*D6</f>
        <v>756000</v>
      </c>
      <c r="I13" s="58">
        <f>'Bytový dům B'!U4*D13*D7</f>
        <v>1134000</v>
      </c>
      <c r="J13" s="58">
        <v>0</v>
      </c>
      <c r="K13" s="58">
        <f>H13+I13+J13</f>
        <v>1890000</v>
      </c>
      <c r="L13" s="49"/>
      <c r="M13" s="52" t="s">
        <v>160</v>
      </c>
      <c r="N13" s="58">
        <f>H13/D2</f>
        <v>63000</v>
      </c>
      <c r="O13" s="134"/>
      <c r="P13" s="134"/>
    </row>
    <row r="14" spans="2:16" s="4" customFormat="1" ht="16.95" customHeight="1" thickBot="1" x14ac:dyDescent="0.3">
      <c r="B14" s="52" t="s">
        <v>45</v>
      </c>
      <c r="C14" s="195">
        <v>6</v>
      </c>
      <c r="D14" s="195">
        <v>6</v>
      </c>
      <c r="E14" s="195">
        <v>0</v>
      </c>
      <c r="F14" s="49"/>
      <c r="G14" s="63" t="s">
        <v>45</v>
      </c>
      <c r="H14" s="64">
        <f>'Bytový dům B'!U5*D14*D6</f>
        <v>360000</v>
      </c>
      <c r="I14" s="64">
        <f>'Bytový dům B'!U5*D14*D7</f>
        <v>540000</v>
      </c>
      <c r="J14" s="64">
        <f>'Bytový dům B'!U5*E14</f>
        <v>0</v>
      </c>
      <c r="K14" s="64">
        <f>H14+I14+J14</f>
        <v>900000</v>
      </c>
      <c r="L14" s="49"/>
      <c r="M14" s="63" t="s">
        <v>45</v>
      </c>
      <c r="N14" s="64">
        <f>H14/D2</f>
        <v>30000</v>
      </c>
      <c r="O14" s="134"/>
      <c r="P14" s="134"/>
    </row>
    <row r="15" spans="2:16" s="4" customFormat="1" ht="16.95" customHeight="1" thickTop="1" x14ac:dyDescent="0.25">
      <c r="B15" s="49"/>
      <c r="C15" s="49"/>
      <c r="D15" s="49"/>
      <c r="E15" s="49"/>
      <c r="F15" s="49"/>
      <c r="G15" s="98" t="s">
        <v>17</v>
      </c>
      <c r="H15" s="85">
        <f>H11+H12+H13+H14</f>
        <v>17568615</v>
      </c>
      <c r="I15" s="85">
        <f>I11+I12+I13+I14</f>
        <v>26352922.5</v>
      </c>
      <c r="J15" s="85">
        <f>J11+J12+J13+J14</f>
        <v>13571095.833333332</v>
      </c>
      <c r="K15" s="85">
        <f>K11+K12+K13+K14</f>
        <v>57492633.333333328</v>
      </c>
      <c r="L15" s="49"/>
      <c r="M15" s="98" t="s">
        <v>206</v>
      </c>
      <c r="N15" s="85">
        <f>N11+N12+N13+N14</f>
        <v>1464051.25</v>
      </c>
      <c r="O15" s="134"/>
      <c r="P15" s="134"/>
    </row>
    <row r="16" spans="2:16" s="4" customFormat="1" ht="16.95" customHeight="1" x14ac:dyDescent="0.25"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134"/>
    </row>
    <row r="17" spans="2:16" s="4" customFormat="1" ht="16.95" customHeight="1" x14ac:dyDescent="0.25">
      <c r="B17" s="49"/>
      <c r="C17" s="49"/>
      <c r="D17" s="49"/>
      <c r="E17" s="49"/>
      <c r="F17" s="49"/>
      <c r="G17" s="49"/>
      <c r="H17" s="49"/>
      <c r="I17" s="49"/>
      <c r="J17" s="49"/>
      <c r="K17" s="134"/>
      <c r="L17" s="49"/>
      <c r="M17" s="49" t="s">
        <v>161</v>
      </c>
      <c r="N17" s="49">
        <v>6</v>
      </c>
      <c r="O17" s="49"/>
      <c r="P17" s="134"/>
    </row>
    <row r="18" spans="2:16" s="4" customFormat="1" ht="16.95" customHeight="1" x14ac:dyDescent="0.25"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133" t="s">
        <v>157</v>
      </c>
      <c r="N18" s="133">
        <v>6</v>
      </c>
      <c r="O18" s="49"/>
      <c r="P18" s="49"/>
    </row>
    <row r="19" spans="2:16" s="4" customFormat="1" ht="16.95" customHeight="1" thickBot="1" x14ac:dyDescent="0.3"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66" t="s">
        <v>4</v>
      </c>
      <c r="N19" s="66" t="s">
        <v>162</v>
      </c>
      <c r="O19" s="49"/>
      <c r="P19" s="49"/>
    </row>
    <row r="20" spans="2:16" s="4" customFormat="1" ht="16.95" customHeight="1" x14ac:dyDescent="0.25"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50" t="s">
        <v>47</v>
      </c>
      <c r="N20" s="55">
        <f>H11/$D$2*$N$17</f>
        <v>8142657.5</v>
      </c>
      <c r="O20" s="49"/>
      <c r="P20" s="49"/>
    </row>
    <row r="21" spans="2:16" s="4" customFormat="1" ht="16.95" customHeight="1" x14ac:dyDescent="0.25"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52" t="s">
        <v>48</v>
      </c>
      <c r="N21" s="58">
        <f>H12/$D$2*$N$17</f>
        <v>83650</v>
      </c>
      <c r="O21" s="49"/>
      <c r="P21" s="49"/>
    </row>
    <row r="22" spans="2:16" s="4" customFormat="1" ht="16.95" customHeight="1" x14ac:dyDescent="0.25"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52" t="s">
        <v>160</v>
      </c>
      <c r="N22" s="58">
        <f>H13/$D$2*$N$17</f>
        <v>378000</v>
      </c>
      <c r="O22" s="49"/>
      <c r="P22" s="49"/>
    </row>
    <row r="23" spans="2:16" s="4" customFormat="1" ht="16.95" customHeight="1" thickBot="1" x14ac:dyDescent="0.3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63" t="s">
        <v>45</v>
      </c>
      <c r="N23" s="64">
        <f>H14/$D$2*$N$17</f>
        <v>180000</v>
      </c>
      <c r="O23" s="49"/>
      <c r="P23" s="49"/>
    </row>
    <row r="24" spans="2:16" s="4" customFormat="1" ht="16.95" customHeight="1" thickTop="1" x14ac:dyDescent="0.25"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98" t="s">
        <v>207</v>
      </c>
      <c r="N24" s="85">
        <f>N20+N21+N22+N23</f>
        <v>8784307.5</v>
      </c>
      <c r="O24" s="134"/>
      <c r="P24" s="49"/>
    </row>
    <row r="25" spans="2:16" s="4" customFormat="1" ht="16.95" customHeight="1" x14ac:dyDescent="0.25"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</row>
    <row r="26" spans="2:16" s="4" customFormat="1" ht="16.95" customHeight="1" x14ac:dyDescent="0.25"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 t="s">
        <v>161</v>
      </c>
      <c r="N26" s="49">
        <v>5</v>
      </c>
      <c r="O26" s="49"/>
      <c r="P26" s="49"/>
    </row>
    <row r="27" spans="2:16" s="4" customFormat="1" ht="16.95" customHeight="1" x14ac:dyDescent="0.25"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 t="s">
        <v>183</v>
      </c>
      <c r="N27" s="49">
        <v>1</v>
      </c>
      <c r="O27" s="49"/>
      <c r="P27" s="49"/>
    </row>
    <row r="28" spans="2:16" s="4" customFormat="1" ht="16.95" customHeight="1" x14ac:dyDescent="0.25"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133" t="s">
        <v>157</v>
      </c>
      <c r="N28" s="133">
        <v>7</v>
      </c>
      <c r="O28" s="49"/>
      <c r="P28" s="49"/>
    </row>
    <row r="29" spans="2:16" s="4" customFormat="1" ht="34.049999999999997" customHeight="1" thickBot="1" x14ac:dyDescent="0.3"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66" t="s">
        <v>4</v>
      </c>
      <c r="N29" s="80" t="s">
        <v>162</v>
      </c>
      <c r="O29" s="80" t="s">
        <v>163</v>
      </c>
      <c r="P29" s="80" t="s">
        <v>164</v>
      </c>
    </row>
    <row r="30" spans="2:16" s="4" customFormat="1" ht="16.95" customHeight="1" x14ac:dyDescent="0.25"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50" t="s">
        <v>47</v>
      </c>
      <c r="N30" s="55">
        <f>H11/$D$2*$N$26</f>
        <v>6785547.916666666</v>
      </c>
      <c r="O30" s="55">
        <f>I11/$D$3*$N$27</f>
        <v>2035664.375</v>
      </c>
      <c r="P30" s="55">
        <f>J11/$D$3</f>
        <v>1130924.6527777778</v>
      </c>
    </row>
    <row r="31" spans="2:16" s="4" customFormat="1" ht="16.95" customHeight="1" x14ac:dyDescent="0.25"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52" t="s">
        <v>48</v>
      </c>
      <c r="N31" s="58">
        <f>H12/$D$2*$N$26</f>
        <v>69708.333333333328</v>
      </c>
      <c r="O31" s="58">
        <f>I12/$D$3*$N$27</f>
        <v>20912.5</v>
      </c>
      <c r="P31" s="58">
        <f>J12/$D$3</f>
        <v>0</v>
      </c>
    </row>
    <row r="32" spans="2:16" s="4" customFormat="1" ht="16.95" customHeight="1" x14ac:dyDescent="0.25"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52" t="s">
        <v>160</v>
      </c>
      <c r="N32" s="58">
        <f>H13/$D$2*$N$26</f>
        <v>315000</v>
      </c>
      <c r="O32" s="58">
        <f>I13/$D$3*$N$27</f>
        <v>94500</v>
      </c>
      <c r="P32" s="58">
        <f>J13/$D$3</f>
        <v>0</v>
      </c>
    </row>
    <row r="33" spans="2:16" s="4" customFormat="1" ht="16.95" customHeight="1" thickBot="1" x14ac:dyDescent="0.3"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63" t="s">
        <v>45</v>
      </c>
      <c r="N33" s="64">
        <f>H14/$D$2*$N$26</f>
        <v>150000</v>
      </c>
      <c r="O33" s="64">
        <f>I14/$D$3*$N$27</f>
        <v>45000</v>
      </c>
      <c r="P33" s="64">
        <f>J14/$D$3</f>
        <v>0</v>
      </c>
    </row>
    <row r="34" spans="2:16" s="4" customFormat="1" ht="16.95" customHeight="1" thickTop="1" x14ac:dyDescent="0.25"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98" t="s">
        <v>17</v>
      </c>
      <c r="N34" s="85">
        <f>N30+N31+N32+N33</f>
        <v>7320256.2499999991</v>
      </c>
      <c r="O34" s="85">
        <f t="shared" ref="O34:P34" si="0">O30+O31+O32+O33</f>
        <v>2196076.875</v>
      </c>
      <c r="P34" s="85">
        <f t="shared" si="0"/>
        <v>1130924.6527777778</v>
      </c>
    </row>
    <row r="35" spans="2:16" s="4" customFormat="1" ht="16.95" customHeight="1" x14ac:dyDescent="0.25"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186" t="s">
        <v>208</v>
      </c>
      <c r="N35" s="222">
        <f>N34+O34+P34</f>
        <v>10647257.777777778</v>
      </c>
      <c r="O35" s="279"/>
      <c r="P35" s="280"/>
    </row>
    <row r="36" spans="2:16" s="4" customFormat="1" ht="16.95" customHeight="1" x14ac:dyDescent="0.25"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</row>
    <row r="37" spans="2:16" s="4" customFormat="1" ht="16.95" customHeight="1" x14ac:dyDescent="0.25"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 t="s">
        <v>183</v>
      </c>
      <c r="N37" s="49">
        <v>6</v>
      </c>
      <c r="O37" s="49"/>
      <c r="P37" s="49"/>
    </row>
    <row r="38" spans="2:16" s="4" customFormat="1" ht="16.95" customHeight="1" x14ac:dyDescent="0.25"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133" t="s">
        <v>157</v>
      </c>
      <c r="N38" s="133">
        <v>8</v>
      </c>
      <c r="O38" s="49"/>
      <c r="P38" s="49"/>
    </row>
    <row r="39" spans="2:16" s="4" customFormat="1" ht="34.049999999999997" customHeight="1" thickBot="1" x14ac:dyDescent="0.3"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66" t="s">
        <v>4</v>
      </c>
      <c r="N39" s="80" t="s">
        <v>163</v>
      </c>
      <c r="O39" s="80" t="s">
        <v>164</v>
      </c>
      <c r="P39" s="49"/>
    </row>
    <row r="40" spans="2:16" s="4" customFormat="1" ht="16.95" customHeight="1" x14ac:dyDescent="0.25"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50" t="s">
        <v>47</v>
      </c>
      <c r="N40" s="55">
        <f t="shared" ref="N40:O43" si="1">I11/$D$3*$N$37</f>
        <v>12213986.25</v>
      </c>
      <c r="O40" s="55">
        <f t="shared" si="1"/>
        <v>6785547.916666666</v>
      </c>
      <c r="P40" s="49"/>
    </row>
    <row r="41" spans="2:16" s="4" customFormat="1" ht="16.95" customHeight="1" x14ac:dyDescent="0.25"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52" t="s">
        <v>48</v>
      </c>
      <c r="N41" s="58">
        <f t="shared" si="1"/>
        <v>125475</v>
      </c>
      <c r="O41" s="58">
        <f t="shared" si="1"/>
        <v>0</v>
      </c>
      <c r="P41" s="49"/>
    </row>
    <row r="42" spans="2:16" s="4" customFormat="1" ht="16.95" customHeight="1" x14ac:dyDescent="0.25"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2" t="s">
        <v>160</v>
      </c>
      <c r="N42" s="58">
        <f t="shared" si="1"/>
        <v>567000</v>
      </c>
      <c r="O42" s="58">
        <f t="shared" si="1"/>
        <v>0</v>
      </c>
      <c r="P42" s="49"/>
    </row>
    <row r="43" spans="2:16" s="4" customFormat="1" ht="16.95" customHeight="1" thickBot="1" x14ac:dyDescent="0.3"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63" t="s">
        <v>45</v>
      </c>
      <c r="N43" s="64">
        <f t="shared" si="1"/>
        <v>270000</v>
      </c>
      <c r="O43" s="64">
        <f t="shared" si="1"/>
        <v>0</v>
      </c>
      <c r="P43" s="49"/>
    </row>
    <row r="44" spans="2:16" s="4" customFormat="1" ht="16.95" customHeight="1" thickTop="1" x14ac:dyDescent="0.25"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98" t="s">
        <v>17</v>
      </c>
      <c r="N44" s="85">
        <f>N40+N41+N42+N43</f>
        <v>13176461.25</v>
      </c>
      <c r="O44" s="85">
        <f>O40+O41+O42+O43</f>
        <v>6785547.916666666</v>
      </c>
      <c r="P44" s="49"/>
    </row>
    <row r="45" spans="2:16" s="4" customFormat="1" ht="16.95" customHeight="1" x14ac:dyDescent="0.25"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186" t="s">
        <v>209</v>
      </c>
      <c r="N45" s="222">
        <f>N44+O44</f>
        <v>19962009.166666664</v>
      </c>
      <c r="O45" s="222"/>
      <c r="P45" s="49"/>
    </row>
    <row r="46" spans="2:16" s="4" customFormat="1" ht="16.95" customHeight="1" x14ac:dyDescent="0.25"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220"/>
      <c r="N46" s="221"/>
      <c r="O46" s="221"/>
      <c r="P46" s="49"/>
    </row>
    <row r="47" spans="2:16" s="4" customFormat="1" ht="16.95" customHeight="1" x14ac:dyDescent="0.25"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 t="s">
        <v>183</v>
      </c>
      <c r="N47" s="49">
        <v>5</v>
      </c>
      <c r="O47" s="49"/>
      <c r="P47" s="49"/>
    </row>
    <row r="48" spans="2:16" s="4" customFormat="1" ht="16.95" customHeight="1" x14ac:dyDescent="0.25"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133" t="s">
        <v>157</v>
      </c>
      <c r="N48" s="133">
        <v>9</v>
      </c>
      <c r="O48" s="49"/>
      <c r="P48" s="49"/>
    </row>
    <row r="49" spans="2:16" s="4" customFormat="1" ht="34.049999999999997" customHeight="1" thickBot="1" x14ac:dyDescent="0.3"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66" t="s">
        <v>4</v>
      </c>
      <c r="N49" s="80" t="s">
        <v>163</v>
      </c>
      <c r="O49" s="80" t="s">
        <v>164</v>
      </c>
      <c r="P49" s="49"/>
    </row>
    <row r="50" spans="2:16" s="4" customFormat="1" ht="16.95" customHeight="1" x14ac:dyDescent="0.25"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50" t="s">
        <v>47</v>
      </c>
      <c r="N50" s="55">
        <f t="shared" ref="N50:O53" si="2">I11/$D$3*$N$47</f>
        <v>10178321.875</v>
      </c>
      <c r="O50" s="55">
        <f t="shared" si="2"/>
        <v>5654623.263888889</v>
      </c>
      <c r="P50" s="49"/>
    </row>
    <row r="51" spans="2:16" s="4" customFormat="1" ht="16.95" customHeight="1" x14ac:dyDescent="0.25"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52" t="s">
        <v>48</v>
      </c>
      <c r="N51" s="58">
        <f t="shared" si="2"/>
        <v>104562.5</v>
      </c>
      <c r="O51" s="58">
        <f t="shared" si="2"/>
        <v>0</v>
      </c>
      <c r="P51" s="49"/>
    </row>
    <row r="52" spans="2:16" s="4" customFormat="1" ht="16.95" customHeight="1" x14ac:dyDescent="0.25"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52" t="s">
        <v>160</v>
      </c>
      <c r="N52" s="58">
        <f t="shared" si="2"/>
        <v>472500</v>
      </c>
      <c r="O52" s="58">
        <f t="shared" si="2"/>
        <v>0</v>
      </c>
      <c r="P52" s="49"/>
    </row>
    <row r="53" spans="2:16" s="4" customFormat="1" ht="16.95" customHeight="1" thickBot="1" x14ac:dyDescent="0.3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63" t="s">
        <v>45</v>
      </c>
      <c r="N53" s="64">
        <f t="shared" si="2"/>
        <v>225000</v>
      </c>
      <c r="O53" s="64">
        <f t="shared" si="2"/>
        <v>0</v>
      </c>
      <c r="P53" s="49"/>
    </row>
    <row r="54" spans="2:16" s="4" customFormat="1" ht="16.95" customHeight="1" thickTop="1" x14ac:dyDescent="0.25"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98" t="s">
        <v>17</v>
      </c>
      <c r="N54" s="85">
        <f>N50+N51+N52+N53</f>
        <v>10980384.375</v>
      </c>
      <c r="O54" s="85">
        <f>O50+O51+O52+O53</f>
        <v>5654623.263888889</v>
      </c>
      <c r="P54" s="49"/>
    </row>
    <row r="55" spans="2:16" s="4" customFormat="1" ht="16.95" customHeight="1" x14ac:dyDescent="0.25"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186" t="s">
        <v>212</v>
      </c>
      <c r="N55" s="222">
        <f>N54+O54</f>
        <v>16635007.638888888</v>
      </c>
      <c r="O55" s="222"/>
      <c r="P55" s="49"/>
    </row>
    <row r="56" spans="2:16" s="4" customFormat="1" ht="16.95" customHeight="1" x14ac:dyDescent="0.25"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</row>
    <row r="57" spans="2:16" s="4" customFormat="1" ht="16.95" customHeight="1" x14ac:dyDescent="0.2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133" t="s">
        <v>166</v>
      </c>
      <c r="N57" s="135">
        <f>N15+N24+N34+O34+P34+N44+O44+N54+O54</f>
        <v>57492633.333333328</v>
      </c>
      <c r="O57" s="49"/>
      <c r="P57" s="49"/>
    </row>
    <row r="58" spans="2:16" s="4" customFormat="1" ht="15" customHeight="1" x14ac:dyDescent="0.25"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</row>
    <row r="59" spans="2:16" s="4" customFormat="1" ht="13.8" x14ac:dyDescent="0.25"/>
    <row r="60" spans="2:16" s="4" customFormat="1" ht="13.8" x14ac:dyDescent="0.25"/>
    <row r="61" spans="2:16" s="4" customFormat="1" ht="13.8" x14ac:dyDescent="0.25"/>
    <row r="62" spans="2:16" s="4" customFormat="1" ht="13.8" x14ac:dyDescent="0.25"/>
    <row r="63" spans="2:16" s="4" customFormat="1" ht="13.8" x14ac:dyDescent="0.25"/>
    <row r="64" spans="2:16" s="4" customFormat="1" ht="13.8" x14ac:dyDescent="0.25"/>
    <row r="65" s="4" customFormat="1" ht="13.8" x14ac:dyDescent="0.25"/>
    <row r="66" s="4" customFormat="1" ht="13.8" x14ac:dyDescent="0.25"/>
    <row r="67" s="4" customFormat="1" ht="13.8" x14ac:dyDescent="0.25"/>
    <row r="68" s="4" customFormat="1" ht="13.8" x14ac:dyDescent="0.25"/>
    <row r="69" s="4" customFormat="1" ht="13.8" x14ac:dyDescent="0.25"/>
    <row r="70" s="4" customFormat="1" ht="13.8" x14ac:dyDescent="0.25"/>
    <row r="71" s="4" customFormat="1" ht="13.8" x14ac:dyDescent="0.25"/>
    <row r="72" s="4" customFormat="1" ht="13.8" x14ac:dyDescent="0.25"/>
  </sheetData>
  <mergeCells count="1">
    <mergeCell ref="O35:P3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9"/>
  <sheetViews>
    <sheetView topLeftCell="A7" workbookViewId="0">
      <selection activeCell="B30" sqref="B30"/>
    </sheetView>
  </sheetViews>
  <sheetFormatPr defaultRowHeight="14.4" x14ac:dyDescent="0.3"/>
  <cols>
    <col min="2" max="2" width="15.44140625" customWidth="1"/>
    <col min="3" max="3" width="30.6640625" customWidth="1"/>
    <col min="4" max="4" width="17.88671875" customWidth="1"/>
    <col min="5" max="5" width="8.88671875" customWidth="1"/>
    <col min="6" max="6" width="16.77734375" customWidth="1"/>
    <col min="7" max="7" width="19.109375" customWidth="1"/>
    <col min="9" max="9" width="25.88671875" customWidth="1"/>
    <col min="10" max="10" width="10.33203125" customWidth="1"/>
    <col min="11" max="11" width="13.33203125" customWidth="1"/>
    <col min="12" max="12" width="9" customWidth="1"/>
    <col min="13" max="13" width="12.21875" customWidth="1"/>
    <col min="14" max="14" width="13.6640625" customWidth="1"/>
  </cols>
  <sheetData>
    <row r="2" spans="2:14" ht="16.95" customHeight="1" x14ac:dyDescent="0.3">
      <c r="B2" s="4" t="s">
        <v>95</v>
      </c>
      <c r="C2" s="4"/>
      <c r="D2" s="4"/>
      <c r="E2" s="4"/>
      <c r="F2" s="4"/>
      <c r="G2" s="4"/>
      <c r="H2" s="4"/>
      <c r="I2" s="4" t="s">
        <v>187</v>
      </c>
      <c r="J2" s="4"/>
      <c r="K2" s="4"/>
      <c r="L2" s="4"/>
      <c r="M2" s="4"/>
      <c r="N2" s="4"/>
    </row>
    <row r="3" spans="2:14" ht="30" customHeight="1" thickBot="1" x14ac:dyDescent="0.35">
      <c r="B3" s="198" t="s">
        <v>82</v>
      </c>
      <c r="C3" s="198" t="s">
        <v>4</v>
      </c>
      <c r="D3" s="198" t="s">
        <v>27</v>
      </c>
      <c r="E3" s="198" t="s">
        <v>83</v>
      </c>
      <c r="F3" s="200" t="s">
        <v>84</v>
      </c>
      <c r="G3" s="198" t="s">
        <v>85</v>
      </c>
      <c r="H3" s="4"/>
      <c r="I3" s="198" t="s">
        <v>4</v>
      </c>
      <c r="J3" s="198" t="s">
        <v>86</v>
      </c>
      <c r="K3" s="199" t="s">
        <v>27</v>
      </c>
      <c r="L3" s="198" t="s">
        <v>87</v>
      </c>
      <c r="M3" s="198" t="s">
        <v>84</v>
      </c>
      <c r="N3" s="199" t="s">
        <v>85</v>
      </c>
    </row>
    <row r="4" spans="2:14" ht="16.95" customHeight="1" x14ac:dyDescent="0.3">
      <c r="B4" s="201" t="s">
        <v>88</v>
      </c>
      <c r="C4" s="201" t="s">
        <v>81</v>
      </c>
      <c r="D4" s="202">
        <v>26444783</v>
      </c>
      <c r="E4" s="203">
        <v>15</v>
      </c>
      <c r="F4" s="204">
        <f>D4*(E4/100)</f>
        <v>3966717.4499999997</v>
      </c>
      <c r="G4" s="202">
        <f>D4+F4</f>
        <v>30411500.449999999</v>
      </c>
      <c r="H4" s="4"/>
      <c r="I4" s="50" t="s">
        <v>89</v>
      </c>
      <c r="J4" s="6" t="s">
        <v>33</v>
      </c>
      <c r="K4" s="90">
        <v>2751209</v>
      </c>
      <c r="L4" s="91">
        <v>21</v>
      </c>
      <c r="M4" s="92">
        <f>K4*(L4/100)</f>
        <v>577753.89</v>
      </c>
      <c r="N4" s="92">
        <f>K4+M4</f>
        <v>3328962.89</v>
      </c>
    </row>
    <row r="5" spans="2:14" ht="16.95" customHeight="1" x14ac:dyDescent="0.3">
      <c r="B5" s="205" t="s">
        <v>90</v>
      </c>
      <c r="C5" s="205" t="s">
        <v>91</v>
      </c>
      <c r="D5" s="206">
        <v>17586.599999999999</v>
      </c>
      <c r="E5" s="207">
        <v>15</v>
      </c>
      <c r="F5" s="204">
        <f t="shared" ref="F5:F13" si="0">D5*(E5/100)</f>
        <v>2637.99</v>
      </c>
      <c r="G5" s="202">
        <f t="shared" ref="G5:G13" si="1">D5+F5</f>
        <v>20224.589999999997</v>
      </c>
      <c r="H5" s="4"/>
      <c r="I5" s="52" t="s">
        <v>92</v>
      </c>
      <c r="J5" s="192">
        <v>0</v>
      </c>
      <c r="K5" s="93">
        <v>0</v>
      </c>
      <c r="L5" s="94">
        <v>21</v>
      </c>
      <c r="M5" s="93">
        <f t="shared" ref="M5:M15" si="2">K5*(L5/100)</f>
        <v>0</v>
      </c>
      <c r="N5" s="93">
        <f t="shared" ref="N5:N16" si="3">K5+M5</f>
        <v>0</v>
      </c>
    </row>
    <row r="6" spans="2:14" ht="16.95" customHeight="1" x14ac:dyDescent="0.3">
      <c r="B6" s="208" t="s">
        <v>93</v>
      </c>
      <c r="C6" s="208" t="s">
        <v>94</v>
      </c>
      <c r="D6" s="209">
        <v>115431</v>
      </c>
      <c r="E6" s="210">
        <v>15</v>
      </c>
      <c r="F6" s="204">
        <f t="shared" si="0"/>
        <v>17314.649999999998</v>
      </c>
      <c r="G6" s="202">
        <f t="shared" si="1"/>
        <v>132745.65</v>
      </c>
      <c r="H6" s="4"/>
      <c r="I6" s="52" t="s">
        <v>95</v>
      </c>
      <c r="J6" s="192" t="s">
        <v>33</v>
      </c>
      <c r="K6" s="93">
        <v>28515517.600000001</v>
      </c>
      <c r="L6" s="95" t="s">
        <v>96</v>
      </c>
      <c r="M6" s="93">
        <f>F14</f>
        <v>4388239.68</v>
      </c>
      <c r="N6" s="93">
        <f t="shared" si="3"/>
        <v>32903757.280000001</v>
      </c>
    </row>
    <row r="7" spans="2:14" ht="16.95" customHeight="1" x14ac:dyDescent="0.3">
      <c r="B7" s="208" t="s">
        <v>97</v>
      </c>
      <c r="C7" s="208" t="s">
        <v>98</v>
      </c>
      <c r="D7" s="209">
        <v>15963</v>
      </c>
      <c r="E7" s="210">
        <v>15</v>
      </c>
      <c r="F7" s="204">
        <f t="shared" si="0"/>
        <v>2394.4499999999998</v>
      </c>
      <c r="G7" s="202">
        <f t="shared" si="1"/>
        <v>18357.45</v>
      </c>
      <c r="H7" s="4"/>
      <c r="I7" s="52" t="s">
        <v>99</v>
      </c>
      <c r="J7" s="192">
        <v>0</v>
      </c>
      <c r="K7" s="93">
        <v>0</v>
      </c>
      <c r="L7" s="94">
        <v>21</v>
      </c>
      <c r="M7" s="93">
        <f t="shared" si="2"/>
        <v>0</v>
      </c>
      <c r="N7" s="93">
        <f t="shared" si="3"/>
        <v>0</v>
      </c>
    </row>
    <row r="8" spans="2:14" ht="16.95" customHeight="1" x14ac:dyDescent="0.3">
      <c r="B8" s="208" t="s">
        <v>100</v>
      </c>
      <c r="C8" s="208" t="s">
        <v>101</v>
      </c>
      <c r="D8" s="209">
        <v>10500</v>
      </c>
      <c r="E8" s="210">
        <v>15</v>
      </c>
      <c r="F8" s="204">
        <f t="shared" si="0"/>
        <v>1575</v>
      </c>
      <c r="G8" s="202">
        <f t="shared" si="1"/>
        <v>12075</v>
      </c>
      <c r="H8" s="4"/>
      <c r="I8" s="52" t="s">
        <v>102</v>
      </c>
      <c r="J8" s="192">
        <v>0</v>
      </c>
      <c r="K8" s="93">
        <v>0</v>
      </c>
      <c r="L8" s="94">
        <v>21</v>
      </c>
      <c r="M8" s="93">
        <f t="shared" si="2"/>
        <v>0</v>
      </c>
      <c r="N8" s="93">
        <f t="shared" si="3"/>
        <v>0</v>
      </c>
    </row>
    <row r="9" spans="2:14" ht="16.95" customHeight="1" x14ac:dyDescent="0.3">
      <c r="B9" s="208" t="s">
        <v>103</v>
      </c>
      <c r="C9" s="208" t="s">
        <v>104</v>
      </c>
      <c r="D9" s="209">
        <v>8750</v>
      </c>
      <c r="E9" s="210">
        <v>15</v>
      </c>
      <c r="F9" s="204">
        <f t="shared" si="0"/>
        <v>1312.5</v>
      </c>
      <c r="G9" s="202">
        <f t="shared" si="1"/>
        <v>10062.5</v>
      </c>
      <c r="H9" s="4"/>
      <c r="I9" s="52" t="s">
        <v>105</v>
      </c>
      <c r="J9" s="192">
        <v>5</v>
      </c>
      <c r="K9" s="93">
        <f>K6*J9/100</f>
        <v>1425775.88</v>
      </c>
      <c r="L9" s="95" t="s">
        <v>96</v>
      </c>
      <c r="M9" s="93">
        <f>F28</f>
        <v>219411.98400000003</v>
      </c>
      <c r="N9" s="93">
        <f t="shared" si="3"/>
        <v>1645187.8639999998</v>
      </c>
    </row>
    <row r="10" spans="2:14" ht="16.95" customHeight="1" x14ac:dyDescent="0.3">
      <c r="B10" s="208" t="s">
        <v>106</v>
      </c>
      <c r="C10" s="208" t="s">
        <v>107</v>
      </c>
      <c r="D10" s="209">
        <v>929784</v>
      </c>
      <c r="E10" s="210">
        <v>21</v>
      </c>
      <c r="F10" s="204">
        <f t="shared" si="0"/>
        <v>195254.63999999998</v>
      </c>
      <c r="G10" s="202">
        <f t="shared" si="1"/>
        <v>1125038.6399999999</v>
      </c>
      <c r="H10" s="4"/>
      <c r="I10" s="52" t="s">
        <v>108</v>
      </c>
      <c r="J10" s="192">
        <v>2</v>
      </c>
      <c r="K10" s="93">
        <f>K6*J10/100</f>
        <v>570310.35200000007</v>
      </c>
      <c r="L10" s="94">
        <v>21</v>
      </c>
      <c r="M10" s="93">
        <f>K10*(L10/100)</f>
        <v>119765.17392000002</v>
      </c>
      <c r="N10" s="93">
        <f>K10+M10</f>
        <v>690075.52592000004</v>
      </c>
    </row>
    <row r="11" spans="2:14" ht="16.95" customHeight="1" x14ac:dyDescent="0.3">
      <c r="B11" s="208" t="s">
        <v>109</v>
      </c>
      <c r="C11" s="208" t="s">
        <v>110</v>
      </c>
      <c r="D11" s="209">
        <v>468750</v>
      </c>
      <c r="E11" s="210">
        <v>21</v>
      </c>
      <c r="F11" s="204">
        <f t="shared" si="0"/>
        <v>98437.5</v>
      </c>
      <c r="G11" s="202">
        <f t="shared" si="1"/>
        <v>567187.5</v>
      </c>
      <c r="H11" s="4"/>
      <c r="I11" s="52" t="s">
        <v>111</v>
      </c>
      <c r="J11" s="192">
        <v>7</v>
      </c>
      <c r="K11" s="93">
        <f>K6*J11/100</f>
        <v>1996086.2320000001</v>
      </c>
      <c r="L11" s="94">
        <v>15</v>
      </c>
      <c r="M11" s="93">
        <f t="shared" si="2"/>
        <v>299412.93479999999</v>
      </c>
      <c r="N11" s="93">
        <f t="shared" si="3"/>
        <v>2295499.1668000002</v>
      </c>
    </row>
    <row r="12" spans="2:14" ht="16.95" customHeight="1" x14ac:dyDescent="0.3">
      <c r="B12" s="208" t="s">
        <v>112</v>
      </c>
      <c r="C12" s="208" t="s">
        <v>113</v>
      </c>
      <c r="D12" s="209">
        <v>450000</v>
      </c>
      <c r="E12" s="210">
        <v>21</v>
      </c>
      <c r="F12" s="204">
        <f t="shared" si="0"/>
        <v>94500</v>
      </c>
      <c r="G12" s="202">
        <f t="shared" si="1"/>
        <v>544500</v>
      </c>
      <c r="H12" s="4"/>
      <c r="I12" s="52" t="s">
        <v>114</v>
      </c>
      <c r="J12" s="192" t="s">
        <v>33</v>
      </c>
      <c r="K12" s="93">
        <v>8880000</v>
      </c>
      <c r="L12" s="94">
        <v>0</v>
      </c>
      <c r="M12" s="93">
        <f t="shared" si="2"/>
        <v>0</v>
      </c>
      <c r="N12" s="93">
        <f t="shared" si="3"/>
        <v>8880000</v>
      </c>
    </row>
    <row r="13" spans="2:14" ht="16.95" customHeight="1" thickBot="1" x14ac:dyDescent="0.35">
      <c r="B13" s="211" t="s">
        <v>115</v>
      </c>
      <c r="C13" s="211" t="s">
        <v>116</v>
      </c>
      <c r="D13" s="212">
        <v>53970</v>
      </c>
      <c r="E13" s="213">
        <v>15</v>
      </c>
      <c r="F13" s="214">
        <f t="shared" si="0"/>
        <v>8095.5</v>
      </c>
      <c r="G13" s="212">
        <f t="shared" si="1"/>
        <v>62065.5</v>
      </c>
      <c r="H13" s="4"/>
      <c r="I13" s="52" t="s">
        <v>117</v>
      </c>
      <c r="J13" s="192" t="s">
        <v>33</v>
      </c>
      <c r="K13" s="93">
        <v>0</v>
      </c>
      <c r="L13" s="94">
        <v>21</v>
      </c>
      <c r="M13" s="93">
        <f t="shared" si="2"/>
        <v>0</v>
      </c>
      <c r="N13" s="93">
        <f t="shared" si="3"/>
        <v>0</v>
      </c>
    </row>
    <row r="14" spans="2:14" ht="16.95" customHeight="1" thickTop="1" x14ac:dyDescent="0.3">
      <c r="B14" s="215" t="s">
        <v>219</v>
      </c>
      <c r="C14" s="215"/>
      <c r="D14" s="216">
        <f>SUM(D4:D13)</f>
        <v>28515517.600000001</v>
      </c>
      <c r="E14" s="215"/>
      <c r="F14" s="216">
        <f>SUM(F4:F13)</f>
        <v>4388239.68</v>
      </c>
      <c r="G14" s="216">
        <f>SUM(G4:G13)</f>
        <v>32903757.279999997</v>
      </c>
      <c r="H14" s="4"/>
      <c r="I14" s="52" t="s">
        <v>118</v>
      </c>
      <c r="J14" s="192" t="s">
        <v>33</v>
      </c>
      <c r="K14" s="93">
        <v>0</v>
      </c>
      <c r="L14" s="94">
        <v>21</v>
      </c>
      <c r="M14" s="93">
        <v>0</v>
      </c>
      <c r="N14" s="93">
        <f t="shared" si="3"/>
        <v>0</v>
      </c>
    </row>
    <row r="15" spans="2:14" ht="16.95" customHeight="1" thickBot="1" x14ac:dyDescent="0.35">
      <c r="B15" s="4"/>
      <c r="C15" s="4"/>
      <c r="D15" s="4"/>
      <c r="E15" s="4"/>
      <c r="F15" s="4"/>
      <c r="G15" s="4"/>
      <c r="H15" s="4"/>
      <c r="I15" s="63" t="s">
        <v>119</v>
      </c>
      <c r="J15" s="14">
        <v>2</v>
      </c>
      <c r="K15" s="96">
        <f>K6*J15/100</f>
        <v>570310.35200000007</v>
      </c>
      <c r="L15" s="97">
        <v>15</v>
      </c>
      <c r="M15" s="96">
        <f t="shared" si="2"/>
        <v>85546.552800000005</v>
      </c>
      <c r="N15" s="96">
        <f t="shared" si="3"/>
        <v>655856.90480000013</v>
      </c>
    </row>
    <row r="16" spans="2:14" ht="16.95" customHeight="1" thickTop="1" x14ac:dyDescent="0.3">
      <c r="B16" s="217" t="s">
        <v>188</v>
      </c>
      <c r="C16" s="4"/>
      <c r="D16" s="4"/>
      <c r="E16" s="4"/>
      <c r="F16" s="4"/>
      <c r="G16" s="4"/>
      <c r="H16" s="4"/>
      <c r="I16" s="98" t="s">
        <v>17</v>
      </c>
      <c r="J16" s="99"/>
      <c r="K16" s="100">
        <f>SUM(K4:K15)</f>
        <v>44709209.416000001</v>
      </c>
      <c r="L16" s="101"/>
      <c r="M16" s="100">
        <f>SUM(M4:M15)</f>
        <v>5690130.2155199992</v>
      </c>
      <c r="N16" s="100">
        <f t="shared" si="3"/>
        <v>50399339.631520003</v>
      </c>
    </row>
    <row r="17" spans="2:14" ht="16.95" customHeight="1" thickBot="1" x14ac:dyDescent="0.35">
      <c r="B17" s="218" t="s">
        <v>82</v>
      </c>
      <c r="C17" s="218" t="s">
        <v>4</v>
      </c>
      <c r="D17" s="218" t="s">
        <v>27</v>
      </c>
      <c r="E17" s="218" t="s">
        <v>83</v>
      </c>
      <c r="F17" s="219" t="s">
        <v>84</v>
      </c>
      <c r="G17" s="218" t="s">
        <v>85</v>
      </c>
      <c r="H17" s="4"/>
      <c r="I17" s="4"/>
      <c r="J17" s="4"/>
      <c r="K17" s="4"/>
      <c r="L17" s="4"/>
      <c r="M17" s="4"/>
      <c r="N17" s="4"/>
    </row>
    <row r="18" spans="2:14" ht="16.95" customHeight="1" x14ac:dyDescent="0.3">
      <c r="B18" s="201" t="s">
        <v>88</v>
      </c>
      <c r="C18" s="201" t="s">
        <v>81</v>
      </c>
      <c r="D18" s="202">
        <f>D4*0.05</f>
        <v>1322239.1500000001</v>
      </c>
      <c r="E18" s="203">
        <v>15</v>
      </c>
      <c r="F18" s="204">
        <f>D18*(E18/100)</f>
        <v>198335.87250000003</v>
      </c>
      <c r="G18" s="202">
        <f>D18+F18</f>
        <v>1520575.0225000002</v>
      </c>
      <c r="H18" s="4"/>
      <c r="I18" s="4"/>
      <c r="J18" s="4"/>
      <c r="K18" s="4"/>
      <c r="L18" s="4"/>
      <c r="M18" s="4"/>
      <c r="N18" s="4"/>
    </row>
    <row r="19" spans="2:14" ht="16.95" customHeight="1" x14ac:dyDescent="0.3">
      <c r="B19" s="205" t="s">
        <v>90</v>
      </c>
      <c r="C19" s="205" t="s">
        <v>91</v>
      </c>
      <c r="D19" s="202">
        <f t="shared" ref="D19:D27" si="4">D5*0.05</f>
        <v>879.32999999999993</v>
      </c>
      <c r="E19" s="207">
        <v>15</v>
      </c>
      <c r="F19" s="204">
        <f t="shared" ref="F19:F27" si="5">D19*(E19/100)</f>
        <v>131.89949999999999</v>
      </c>
      <c r="G19" s="202">
        <f t="shared" ref="G19:G27" si="6">D19+F19</f>
        <v>1011.2294999999999</v>
      </c>
      <c r="H19" s="4"/>
      <c r="I19" s="4"/>
      <c r="J19" s="4"/>
      <c r="K19" s="4"/>
      <c r="L19" s="4"/>
      <c r="M19" s="4"/>
      <c r="N19" s="4"/>
    </row>
    <row r="20" spans="2:14" ht="16.95" customHeight="1" x14ac:dyDescent="0.3">
      <c r="B20" s="208" t="s">
        <v>93</v>
      </c>
      <c r="C20" s="208" t="s">
        <v>94</v>
      </c>
      <c r="D20" s="202">
        <f t="shared" si="4"/>
        <v>5771.55</v>
      </c>
      <c r="E20" s="210">
        <v>15</v>
      </c>
      <c r="F20" s="204">
        <f t="shared" si="5"/>
        <v>865.73249999999996</v>
      </c>
      <c r="G20" s="202">
        <f t="shared" si="6"/>
        <v>6637.2825000000003</v>
      </c>
      <c r="H20" s="4"/>
      <c r="I20" s="4"/>
      <c r="J20" s="4"/>
      <c r="K20" s="4"/>
      <c r="L20" s="4"/>
      <c r="M20" s="4"/>
      <c r="N20" s="4"/>
    </row>
    <row r="21" spans="2:14" ht="16.95" customHeight="1" x14ac:dyDescent="0.3">
      <c r="B21" s="208" t="s">
        <v>97</v>
      </c>
      <c r="C21" s="208" t="s">
        <v>98</v>
      </c>
      <c r="D21" s="202">
        <f t="shared" si="4"/>
        <v>798.15000000000009</v>
      </c>
      <c r="E21" s="210">
        <v>15</v>
      </c>
      <c r="F21" s="204">
        <f t="shared" si="5"/>
        <v>119.72250000000001</v>
      </c>
      <c r="G21" s="202">
        <f t="shared" si="6"/>
        <v>917.87250000000006</v>
      </c>
      <c r="H21" s="4"/>
      <c r="I21" s="4"/>
      <c r="J21" s="4"/>
      <c r="K21" s="4"/>
      <c r="L21" s="4"/>
      <c r="M21" s="4"/>
      <c r="N21" s="4"/>
    </row>
    <row r="22" spans="2:14" ht="16.95" customHeight="1" x14ac:dyDescent="0.3">
      <c r="B22" s="208" t="s">
        <v>100</v>
      </c>
      <c r="C22" s="208" t="s">
        <v>101</v>
      </c>
      <c r="D22" s="202">
        <f t="shared" si="4"/>
        <v>525</v>
      </c>
      <c r="E22" s="210">
        <v>15</v>
      </c>
      <c r="F22" s="204">
        <f t="shared" si="5"/>
        <v>78.75</v>
      </c>
      <c r="G22" s="202">
        <f t="shared" si="6"/>
        <v>603.75</v>
      </c>
      <c r="H22" s="4"/>
      <c r="I22" s="4"/>
      <c r="J22" s="4"/>
      <c r="K22" s="4"/>
      <c r="L22" s="4"/>
      <c r="M22" s="4"/>
      <c r="N22" s="4"/>
    </row>
    <row r="23" spans="2:14" ht="16.95" customHeight="1" x14ac:dyDescent="0.3">
      <c r="B23" s="208" t="s">
        <v>103</v>
      </c>
      <c r="C23" s="208" t="s">
        <v>104</v>
      </c>
      <c r="D23" s="202">
        <f t="shared" si="4"/>
        <v>437.5</v>
      </c>
      <c r="E23" s="210">
        <v>15</v>
      </c>
      <c r="F23" s="204">
        <f t="shared" si="5"/>
        <v>65.625</v>
      </c>
      <c r="G23" s="202">
        <f t="shared" si="6"/>
        <v>503.125</v>
      </c>
      <c r="H23" s="4"/>
      <c r="I23" s="4"/>
      <c r="J23" s="4"/>
      <c r="K23" s="4"/>
      <c r="L23" s="4"/>
      <c r="M23" s="4"/>
      <c r="N23" s="4"/>
    </row>
    <row r="24" spans="2:14" ht="16.95" customHeight="1" x14ac:dyDescent="0.3">
      <c r="B24" s="208" t="s">
        <v>106</v>
      </c>
      <c r="C24" s="208" t="s">
        <v>107</v>
      </c>
      <c r="D24" s="202">
        <f t="shared" si="4"/>
        <v>46489.200000000004</v>
      </c>
      <c r="E24" s="210">
        <v>21</v>
      </c>
      <c r="F24" s="204">
        <f t="shared" si="5"/>
        <v>9762.732</v>
      </c>
      <c r="G24" s="202">
        <f t="shared" si="6"/>
        <v>56251.932000000001</v>
      </c>
      <c r="H24" s="4"/>
      <c r="I24" s="4"/>
      <c r="J24" s="4"/>
      <c r="K24" s="4"/>
      <c r="L24" s="4"/>
      <c r="M24" s="4"/>
      <c r="N24" s="4"/>
    </row>
    <row r="25" spans="2:14" ht="16.95" customHeight="1" x14ac:dyDescent="0.3">
      <c r="B25" s="208" t="s">
        <v>109</v>
      </c>
      <c r="C25" s="208" t="s">
        <v>110</v>
      </c>
      <c r="D25" s="202">
        <f t="shared" si="4"/>
        <v>23437.5</v>
      </c>
      <c r="E25" s="210">
        <v>21</v>
      </c>
      <c r="F25" s="204">
        <f t="shared" si="5"/>
        <v>4921.875</v>
      </c>
      <c r="G25" s="202">
        <f t="shared" si="6"/>
        <v>28359.375</v>
      </c>
      <c r="H25" s="4"/>
      <c r="I25" s="4"/>
      <c r="J25" s="4"/>
      <c r="K25" s="4"/>
      <c r="L25" s="4"/>
      <c r="M25" s="4"/>
      <c r="N25" s="4"/>
    </row>
    <row r="26" spans="2:14" ht="16.95" customHeight="1" x14ac:dyDescent="0.3">
      <c r="B26" s="208" t="s">
        <v>112</v>
      </c>
      <c r="C26" s="208" t="s">
        <v>113</v>
      </c>
      <c r="D26" s="202">
        <f t="shared" si="4"/>
        <v>22500</v>
      </c>
      <c r="E26" s="210">
        <v>21</v>
      </c>
      <c r="F26" s="204">
        <f t="shared" si="5"/>
        <v>4725</v>
      </c>
      <c r="G26" s="202">
        <f t="shared" si="6"/>
        <v>27225</v>
      </c>
      <c r="H26" s="4"/>
      <c r="I26" s="4"/>
      <c r="J26" s="4"/>
      <c r="K26" s="4"/>
      <c r="L26" s="4"/>
      <c r="M26" s="4"/>
      <c r="N26" s="4"/>
    </row>
    <row r="27" spans="2:14" ht="16.95" customHeight="1" thickBot="1" x14ac:dyDescent="0.35">
      <c r="B27" s="211" t="s">
        <v>115</v>
      </c>
      <c r="C27" s="211" t="s">
        <v>116</v>
      </c>
      <c r="D27" s="212">
        <f t="shared" si="4"/>
        <v>2698.5</v>
      </c>
      <c r="E27" s="213">
        <v>15</v>
      </c>
      <c r="F27" s="214">
        <f t="shared" si="5"/>
        <v>404.77499999999998</v>
      </c>
      <c r="G27" s="212">
        <f t="shared" si="6"/>
        <v>3103.2750000000001</v>
      </c>
      <c r="H27" s="4"/>
      <c r="I27" s="4"/>
      <c r="J27" s="4"/>
      <c r="K27" s="4"/>
      <c r="L27" s="4"/>
      <c r="M27" s="4"/>
      <c r="N27" s="4"/>
    </row>
    <row r="28" spans="2:14" ht="16.95" customHeight="1" thickTop="1" x14ac:dyDescent="0.3">
      <c r="B28" s="215" t="s">
        <v>219</v>
      </c>
      <c r="C28" s="215"/>
      <c r="D28" s="216">
        <f>SUM(D18:D27)</f>
        <v>1425775.8800000001</v>
      </c>
      <c r="E28" s="215"/>
      <c r="F28" s="216">
        <f>SUM(F18:F27)</f>
        <v>219411.98400000003</v>
      </c>
      <c r="G28" s="216">
        <f>SUM(G18:G27)</f>
        <v>1645187.8640000001</v>
      </c>
      <c r="H28" s="4"/>
      <c r="I28" s="4"/>
      <c r="J28" s="4"/>
      <c r="K28" s="4"/>
      <c r="L28" s="4"/>
      <c r="M28" s="4"/>
      <c r="N28" s="4"/>
    </row>
    <row r="29" spans="2:14" x14ac:dyDescent="0.3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</sheetData>
  <pageMargins left="0.7" right="0.7" top="0.78740157499999996" bottom="0.78740157499999996" header="0.3" footer="0.3"/>
  <pageSetup paperSize="9" orientation="portrait" r:id="rId1"/>
  <ignoredErrors>
    <ignoredError sqref="M9 M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35"/>
  <sheetViews>
    <sheetView topLeftCell="L1" workbookViewId="0">
      <selection activeCell="J18" sqref="J18"/>
    </sheetView>
  </sheetViews>
  <sheetFormatPr defaultRowHeight="14.4" x14ac:dyDescent="0.3"/>
  <cols>
    <col min="1" max="1" width="2.88671875" customWidth="1"/>
    <col min="4" max="4" width="15.77734375" customWidth="1"/>
    <col min="5" max="5" width="16.21875" customWidth="1"/>
    <col min="6" max="7" width="16.109375" customWidth="1"/>
    <col min="8" max="8" width="17.77734375" customWidth="1"/>
    <col min="9" max="9" width="4.44140625" customWidth="1"/>
    <col min="10" max="10" width="33.33203125" customWidth="1"/>
    <col min="11" max="11" width="5.88671875" customWidth="1"/>
    <col min="12" max="12" width="29.109375" customWidth="1"/>
    <col min="13" max="13" width="18.21875" customWidth="1"/>
    <col min="14" max="14" width="4.21875" customWidth="1"/>
    <col min="15" max="15" width="11.21875" customWidth="1"/>
    <col min="16" max="16" width="16.5546875" customWidth="1"/>
    <col min="17" max="17" width="12.6640625" customWidth="1"/>
    <col min="18" max="18" width="14.77734375" customWidth="1"/>
    <col min="19" max="19" width="3.33203125" customWidth="1"/>
    <col min="20" max="20" width="18.21875" customWidth="1"/>
    <col min="21" max="21" width="15.21875" customWidth="1"/>
    <col min="22" max="22" width="9.5546875" customWidth="1"/>
    <col min="23" max="23" width="16.33203125" customWidth="1"/>
    <col min="24" max="24" width="4.5546875" customWidth="1"/>
    <col min="25" max="25" width="14.6640625" customWidth="1"/>
    <col min="26" max="26" width="17.88671875" customWidth="1"/>
  </cols>
  <sheetData>
    <row r="2" spans="2:26" x14ac:dyDescent="0.3">
      <c r="B2" s="4" t="s">
        <v>189</v>
      </c>
      <c r="C2" s="4"/>
      <c r="D2" s="4"/>
      <c r="E2" s="4"/>
      <c r="F2" s="4"/>
      <c r="G2" s="4"/>
      <c r="H2" s="4"/>
      <c r="I2" s="4"/>
      <c r="J2" s="4" t="s">
        <v>193</v>
      </c>
      <c r="K2" s="4"/>
      <c r="L2" s="4"/>
      <c r="M2" s="4"/>
      <c r="N2" s="4"/>
      <c r="O2" s="4" t="s">
        <v>190</v>
      </c>
      <c r="P2" s="4"/>
      <c r="Q2" s="4"/>
      <c r="R2" s="4"/>
      <c r="S2" s="4"/>
      <c r="T2" s="4" t="s">
        <v>191</v>
      </c>
      <c r="U2" s="4"/>
      <c r="V2" s="4"/>
      <c r="W2" s="4"/>
      <c r="X2" s="4"/>
      <c r="Y2" s="4" t="s">
        <v>192</v>
      </c>
      <c r="Z2" s="4"/>
    </row>
    <row r="3" spans="2:26" ht="33.6" customHeight="1" thickBot="1" x14ac:dyDescent="0.35">
      <c r="B3" s="66" t="s">
        <v>34</v>
      </c>
      <c r="C3" s="66" t="s">
        <v>8</v>
      </c>
      <c r="D3" s="80" t="s">
        <v>18</v>
      </c>
      <c r="E3" s="80" t="s">
        <v>218</v>
      </c>
      <c r="F3" s="80" t="s">
        <v>14</v>
      </c>
      <c r="G3" s="80" t="s">
        <v>32</v>
      </c>
      <c r="H3" s="80" t="s">
        <v>37</v>
      </c>
      <c r="I3" s="49"/>
      <c r="J3" s="80" t="s">
        <v>4</v>
      </c>
      <c r="K3" s="73" t="s">
        <v>23</v>
      </c>
      <c r="L3" s="87" t="s">
        <v>124</v>
      </c>
      <c r="M3" s="80" t="s">
        <v>122</v>
      </c>
      <c r="N3" s="49"/>
      <c r="O3" s="66" t="s">
        <v>12</v>
      </c>
      <c r="P3" s="114" t="s">
        <v>46</v>
      </c>
      <c r="Q3" s="66" t="s">
        <v>35</v>
      </c>
      <c r="R3" s="80" t="s">
        <v>10</v>
      </c>
      <c r="S3" s="54"/>
      <c r="T3" s="119" t="s">
        <v>4</v>
      </c>
      <c r="U3" s="120" t="s">
        <v>44</v>
      </c>
      <c r="V3" s="119" t="s">
        <v>36</v>
      </c>
      <c r="W3" s="121" t="s">
        <v>10</v>
      </c>
      <c r="X3" s="54"/>
      <c r="Y3" s="48" t="s">
        <v>4</v>
      </c>
      <c r="Z3" s="48" t="s">
        <v>27</v>
      </c>
    </row>
    <row r="4" spans="2:26" ht="16.95" customHeight="1" x14ac:dyDescent="0.3">
      <c r="B4" s="6">
        <v>1</v>
      </c>
      <c r="C4" s="6" t="s">
        <v>0</v>
      </c>
      <c r="D4" s="51">
        <f>5.34+3.5+4.24+1.17+4.56+19.38+13.88+21.24+6.23</f>
        <v>79.540000000000006</v>
      </c>
      <c r="E4" s="51">
        <v>7</v>
      </c>
      <c r="F4" s="102">
        <v>120.96</v>
      </c>
      <c r="G4" s="75">
        <f>$M$4*D4+$M$5*E4+$M$8*F4</f>
        <v>4548410</v>
      </c>
      <c r="H4" s="55">
        <f t="shared" ref="H4:H23" si="0">G4/D4</f>
        <v>57183.932612521996</v>
      </c>
      <c r="I4" s="49"/>
      <c r="J4" s="103" t="s">
        <v>123</v>
      </c>
      <c r="K4" s="28" t="s">
        <v>25</v>
      </c>
      <c r="L4" s="44">
        <f>'Analýza okolí a konk. projektů'!T7</f>
        <v>46160.521730845096</v>
      </c>
      <c r="M4" s="55">
        <v>46500</v>
      </c>
      <c r="N4" s="49"/>
      <c r="O4" s="6">
        <v>1</v>
      </c>
      <c r="P4" s="36">
        <f>'Bytový dům B'!M9</f>
        <v>25000</v>
      </c>
      <c r="Q4" s="51">
        <v>2.85</v>
      </c>
      <c r="R4" s="55">
        <f>'Bytový dům B'!$M$9*Q4</f>
        <v>71250</v>
      </c>
      <c r="S4" s="54"/>
      <c r="T4" s="105" t="s">
        <v>49</v>
      </c>
      <c r="U4" s="104">
        <f>'Bytový dům B'!M10</f>
        <v>210000</v>
      </c>
      <c r="V4" s="105">
        <v>9</v>
      </c>
      <c r="W4" s="122">
        <f>'Bytový dům B'!M10*'Bytový dům B'!V4</f>
        <v>1890000</v>
      </c>
      <c r="X4" s="54"/>
      <c r="Y4" s="126" t="s">
        <v>172</v>
      </c>
      <c r="Z4" s="127">
        <f>'Bytový dům B'!G24</f>
        <v>54284383.333333328</v>
      </c>
    </row>
    <row r="5" spans="2:26" ht="16.95" customHeight="1" thickBot="1" x14ac:dyDescent="0.35">
      <c r="B5" s="11">
        <v>2</v>
      </c>
      <c r="C5" s="11" t="s">
        <v>1</v>
      </c>
      <c r="D5" s="53">
        <f>5.25+21.09+7.26+1.87+5.4</f>
        <v>40.869999999999997</v>
      </c>
      <c r="E5" s="53">
        <v>8.61</v>
      </c>
      <c r="F5" s="106" t="s">
        <v>33</v>
      </c>
      <c r="G5" s="77">
        <f>$M$4*D5+$M$5*E5</f>
        <v>2201805</v>
      </c>
      <c r="H5" s="58">
        <f t="shared" si="0"/>
        <v>53873.379006606316</v>
      </c>
      <c r="I5" s="49"/>
      <c r="J5" s="78" t="s">
        <v>21</v>
      </c>
      <c r="K5" s="30" t="s">
        <v>25</v>
      </c>
      <c r="L5" s="45">
        <f>'Analýza okolí a konk. projektů'!X6</f>
        <v>35000</v>
      </c>
      <c r="M5" s="79">
        <v>35000</v>
      </c>
      <c r="N5" s="31"/>
      <c r="O5" s="11">
        <v>2</v>
      </c>
      <c r="P5" s="37">
        <f>P4</f>
        <v>25000</v>
      </c>
      <c r="Q5" s="53">
        <v>2.7</v>
      </c>
      <c r="R5" s="58">
        <f>'Bytový dům B'!$M$9*Q5</f>
        <v>67500</v>
      </c>
      <c r="S5" s="54"/>
      <c r="T5" s="108" t="s">
        <v>45</v>
      </c>
      <c r="U5" s="107">
        <f>'Bytový dům B'!M11</f>
        <v>150000</v>
      </c>
      <c r="V5" s="108">
        <v>6</v>
      </c>
      <c r="W5" s="123">
        <f>'Bytový dům B'!M11*V5</f>
        <v>900000</v>
      </c>
      <c r="X5" s="54"/>
      <c r="Y5" s="128" t="s">
        <v>173</v>
      </c>
      <c r="Z5" s="129">
        <f>R9</f>
        <v>418250</v>
      </c>
    </row>
    <row r="6" spans="2:26" ht="16.95" customHeight="1" thickTop="1" thickBot="1" x14ac:dyDescent="0.35">
      <c r="B6" s="11">
        <v>3</v>
      </c>
      <c r="C6" s="11" t="s">
        <v>1</v>
      </c>
      <c r="D6" s="53">
        <f>5.98+19.22+4.84+5.1</f>
        <v>35.14</v>
      </c>
      <c r="E6" s="53">
        <v>9.73</v>
      </c>
      <c r="F6" s="106">
        <v>67.5</v>
      </c>
      <c r="G6" s="77">
        <f>$M$4*D6+$M$5*E6+$M$7*F6</f>
        <v>2649560</v>
      </c>
      <c r="H6" s="58">
        <f t="shared" si="0"/>
        <v>75400.113830392715</v>
      </c>
      <c r="I6" s="49"/>
      <c r="J6" s="78" t="s">
        <v>22</v>
      </c>
      <c r="K6" s="30" t="s">
        <v>25</v>
      </c>
      <c r="L6" s="45">
        <f>'Analýza okolí a konk. projektů'!X7</f>
        <v>11666.666666666666</v>
      </c>
      <c r="M6" s="79">
        <f>M5/3</f>
        <v>11666.666666666666</v>
      </c>
      <c r="N6" s="31"/>
      <c r="O6" s="11">
        <v>3</v>
      </c>
      <c r="P6" s="37">
        <f>P5</f>
        <v>25000</v>
      </c>
      <c r="Q6" s="53">
        <v>3.68</v>
      </c>
      <c r="R6" s="58">
        <f>'Bytový dům B'!$M$9*Q6</f>
        <v>92000</v>
      </c>
      <c r="S6" s="54"/>
      <c r="T6" s="124"/>
      <c r="U6" s="125" t="s">
        <v>17</v>
      </c>
      <c r="V6" s="115">
        <f>V4+V5</f>
        <v>15</v>
      </c>
      <c r="W6" s="118">
        <f>W4+W5</f>
        <v>2790000</v>
      </c>
      <c r="X6" s="54"/>
      <c r="Y6" s="108" t="s">
        <v>50</v>
      </c>
      <c r="Z6" s="123">
        <f>W6</f>
        <v>2790000</v>
      </c>
    </row>
    <row r="7" spans="2:26" ht="16.95" customHeight="1" thickTop="1" x14ac:dyDescent="0.3">
      <c r="B7" s="11">
        <v>4</v>
      </c>
      <c r="C7" s="11" t="s">
        <v>2</v>
      </c>
      <c r="D7" s="53">
        <f>7.27+21.94+7.07+13.88+2.34+4.67</f>
        <v>57.17</v>
      </c>
      <c r="E7" s="53">
        <v>14.03</v>
      </c>
      <c r="F7" s="106">
        <v>116.6</v>
      </c>
      <c r="G7" s="77">
        <f>$M$4*D7+$M$5*E7+$M$8*F7</f>
        <v>3732455</v>
      </c>
      <c r="H7" s="58">
        <f>G7/D7</f>
        <v>65286.951198180861</v>
      </c>
      <c r="I7" s="49"/>
      <c r="J7" s="78" t="s">
        <v>38</v>
      </c>
      <c r="K7" s="30" t="s">
        <v>25</v>
      </c>
      <c r="L7" s="45">
        <f>'Analýza okolí a konk. projektů'!X8</f>
        <v>10000</v>
      </c>
      <c r="M7" s="79">
        <v>10000</v>
      </c>
      <c r="N7" s="31"/>
      <c r="O7" s="11">
        <v>4</v>
      </c>
      <c r="P7" s="37">
        <f>P6</f>
        <v>25000</v>
      </c>
      <c r="Q7" s="53">
        <v>3.73</v>
      </c>
      <c r="R7" s="58">
        <f>'Bytový dům B'!$M$9*Q7</f>
        <v>93250</v>
      </c>
      <c r="S7" s="54"/>
      <c r="T7" s="54"/>
      <c r="U7" s="54"/>
      <c r="V7" s="54"/>
      <c r="W7" s="54"/>
      <c r="X7" s="54"/>
      <c r="Y7" s="115" t="s">
        <v>17</v>
      </c>
      <c r="Z7" s="118">
        <f>SUM(Z4:Z6)</f>
        <v>57492633.333333328</v>
      </c>
    </row>
    <row r="8" spans="2:26" ht="16.95" customHeight="1" thickBot="1" x14ac:dyDescent="0.35">
      <c r="B8" s="11">
        <v>5</v>
      </c>
      <c r="C8" s="11" t="s">
        <v>3</v>
      </c>
      <c r="D8" s="53">
        <f>4.07+3.55+4.16+19.22</f>
        <v>31</v>
      </c>
      <c r="E8" s="53">
        <v>4.63</v>
      </c>
      <c r="F8" s="106" t="s">
        <v>33</v>
      </c>
      <c r="G8" s="77">
        <f>$M$4*D8+$M$5*E8</f>
        <v>1603550</v>
      </c>
      <c r="H8" s="58">
        <f t="shared" si="0"/>
        <v>51727.419354838712</v>
      </c>
      <c r="I8" s="49"/>
      <c r="J8" s="88" t="s">
        <v>39</v>
      </c>
      <c r="K8" s="30" t="s">
        <v>25</v>
      </c>
      <c r="L8" s="46">
        <f>'Analýza okolí a konk. projektů'!X9</f>
        <v>5000</v>
      </c>
      <c r="M8" s="89">
        <f>M7/2</f>
        <v>5000</v>
      </c>
      <c r="N8" s="31"/>
      <c r="O8" s="14">
        <v>5</v>
      </c>
      <c r="P8" s="38">
        <f>P7</f>
        <v>25000</v>
      </c>
      <c r="Q8" s="62">
        <v>3.77</v>
      </c>
      <c r="R8" s="64">
        <f>'Bytový dům B'!$M$9*Q8</f>
        <v>94250</v>
      </c>
      <c r="S8" s="54"/>
      <c r="T8" s="54"/>
      <c r="U8" s="54"/>
      <c r="V8" s="54"/>
      <c r="W8" s="54"/>
      <c r="X8" s="54"/>
      <c r="Y8" s="54"/>
      <c r="Z8" s="54"/>
    </row>
    <row r="9" spans="2:26" ht="16.95" customHeight="1" thickTop="1" x14ac:dyDescent="0.3">
      <c r="B9" s="11">
        <v>6</v>
      </c>
      <c r="C9" s="11" t="s">
        <v>1</v>
      </c>
      <c r="D9" s="53">
        <f>3.45+4.43+19.16+4.7</f>
        <v>31.74</v>
      </c>
      <c r="E9" s="106" t="s">
        <v>33</v>
      </c>
      <c r="F9" s="106">
        <f>47.2+31.9</f>
        <v>79.099999999999994</v>
      </c>
      <c r="G9" s="77">
        <f>$M$4*D9+$M$7*F9</f>
        <v>2266910</v>
      </c>
      <c r="H9" s="58">
        <f t="shared" si="0"/>
        <v>71421.235034656595</v>
      </c>
      <c r="I9" s="49"/>
      <c r="J9" s="52" t="s">
        <v>26</v>
      </c>
      <c r="K9" s="30" t="s">
        <v>25</v>
      </c>
      <c r="L9" s="45">
        <f>'Analýza okolí a konk. projektů'!X4</f>
        <v>25000</v>
      </c>
      <c r="M9" s="58">
        <v>25000</v>
      </c>
      <c r="N9" s="49"/>
      <c r="O9" s="115"/>
      <c r="P9" s="116" t="s">
        <v>17</v>
      </c>
      <c r="Q9" s="117">
        <f>SUM(Q4:Q8)</f>
        <v>16.73</v>
      </c>
      <c r="R9" s="118">
        <f>SUM(R4:R8)</f>
        <v>418250</v>
      </c>
      <c r="S9" s="54"/>
      <c r="T9" s="54"/>
      <c r="U9" s="54"/>
      <c r="V9" s="54"/>
      <c r="W9" s="54"/>
      <c r="X9" s="54"/>
      <c r="Y9" s="54"/>
      <c r="Z9" s="54"/>
    </row>
    <row r="10" spans="2:26" ht="16.95" customHeight="1" x14ac:dyDescent="0.3">
      <c r="B10" s="11">
        <v>7</v>
      </c>
      <c r="C10" s="11" t="s">
        <v>1</v>
      </c>
      <c r="D10" s="53">
        <f>1.93+3.88+4.05+24.93+3.75</f>
        <v>38.54</v>
      </c>
      <c r="E10" s="106" t="s">
        <v>33</v>
      </c>
      <c r="F10" s="106">
        <f>45.6+38.6</f>
        <v>84.2</v>
      </c>
      <c r="G10" s="77">
        <f>$M$4*D10+$M$7*F10</f>
        <v>2634110</v>
      </c>
      <c r="H10" s="58">
        <f t="shared" si="0"/>
        <v>68347.431240269856</v>
      </c>
      <c r="I10" s="49"/>
      <c r="J10" s="109" t="s">
        <v>20</v>
      </c>
      <c r="K10" s="110" t="s">
        <v>24</v>
      </c>
      <c r="L10" s="111">
        <f>'Analýza okolí a konk. projektů'!X5</f>
        <v>210000</v>
      </c>
      <c r="M10" s="111">
        <v>210000</v>
      </c>
      <c r="N10" s="49"/>
      <c r="O10" s="49"/>
      <c r="P10" s="49"/>
      <c r="Q10" s="49"/>
      <c r="R10" s="49"/>
      <c r="S10" s="54"/>
      <c r="T10" s="54"/>
      <c r="U10" s="54"/>
      <c r="V10" s="54"/>
      <c r="W10" s="54"/>
      <c r="X10" s="54"/>
      <c r="Y10" s="54"/>
      <c r="Z10" s="54"/>
    </row>
    <row r="11" spans="2:26" ht="16.95" customHeight="1" x14ac:dyDescent="0.3">
      <c r="B11" s="11">
        <v>8</v>
      </c>
      <c r="C11" s="11" t="s">
        <v>1</v>
      </c>
      <c r="D11" s="53">
        <f>1.93+4.06+3.88+24.93+3.75</f>
        <v>38.549999999999997</v>
      </c>
      <c r="E11" s="106" t="s">
        <v>33</v>
      </c>
      <c r="F11" s="106">
        <f>45.6+33.9</f>
        <v>79.5</v>
      </c>
      <c r="G11" s="77">
        <f>$M$4*D11+$M$7*F11</f>
        <v>2587575</v>
      </c>
      <c r="H11" s="58">
        <f t="shared" si="0"/>
        <v>67122.568093385213</v>
      </c>
      <c r="I11" s="49"/>
      <c r="J11" s="52" t="s">
        <v>43</v>
      </c>
      <c r="K11" s="112" t="s">
        <v>24</v>
      </c>
      <c r="L11" s="70" t="s">
        <v>33</v>
      </c>
      <c r="M11" s="58">
        <v>150000</v>
      </c>
      <c r="N11" s="49"/>
      <c r="O11" s="49"/>
      <c r="P11" s="49"/>
      <c r="Q11" s="49"/>
      <c r="R11" s="49"/>
      <c r="S11" s="54"/>
      <c r="T11" s="54"/>
      <c r="U11" s="54"/>
      <c r="V11" s="54"/>
      <c r="W11" s="54"/>
      <c r="X11" s="54"/>
      <c r="Y11" s="54"/>
      <c r="Z11" s="54"/>
    </row>
    <row r="12" spans="2:26" ht="16.95" customHeight="1" x14ac:dyDescent="0.3">
      <c r="B12" s="11">
        <v>9</v>
      </c>
      <c r="C12" s="11" t="s">
        <v>2</v>
      </c>
      <c r="D12" s="53">
        <f>4.1+3.62+1.14+6.35+12.34+22.54+5.45</f>
        <v>55.54</v>
      </c>
      <c r="E12" s="106" t="s">
        <v>33</v>
      </c>
      <c r="F12" s="106">
        <v>258.10000000000002</v>
      </c>
      <c r="G12" s="77">
        <f>$M$4*D12+$M$8*F12</f>
        <v>3873110</v>
      </c>
      <c r="H12" s="58">
        <f t="shared" si="0"/>
        <v>69735.505941663665</v>
      </c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54"/>
      <c r="T12" s="54"/>
      <c r="U12" s="54"/>
      <c r="V12" s="54"/>
      <c r="W12" s="54"/>
      <c r="X12" s="54"/>
      <c r="Y12" s="54"/>
      <c r="Z12" s="54"/>
    </row>
    <row r="13" spans="2:26" ht="16.95" customHeight="1" x14ac:dyDescent="0.3">
      <c r="B13" s="11">
        <v>10</v>
      </c>
      <c r="C13" s="11" t="s">
        <v>0</v>
      </c>
      <c r="D13" s="53">
        <f>5.34+3.5+4.22+1.17+4.53+19.38+13.88+21.21+6.25</f>
        <v>79.48</v>
      </c>
      <c r="E13" s="53">
        <v>7</v>
      </c>
      <c r="F13" s="106" t="s">
        <v>33</v>
      </c>
      <c r="G13" s="77">
        <f t="shared" ref="G13:G21" si="1">$M$4*D13+$M$5*E13</f>
        <v>3940820</v>
      </c>
      <c r="H13" s="58">
        <f t="shared" si="0"/>
        <v>49582.536487166581</v>
      </c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54"/>
      <c r="T13" s="54"/>
      <c r="U13" s="54"/>
      <c r="V13" s="54"/>
      <c r="W13" s="54"/>
      <c r="X13" s="54"/>
      <c r="Y13" s="54"/>
      <c r="Z13" s="54"/>
    </row>
    <row r="14" spans="2:26" ht="16.95" customHeight="1" x14ac:dyDescent="0.3">
      <c r="B14" s="11">
        <v>11</v>
      </c>
      <c r="C14" s="11" t="s">
        <v>2</v>
      </c>
      <c r="D14" s="53">
        <f>5.28+21.08+7.28+1.88+5.58</f>
        <v>41.1</v>
      </c>
      <c r="E14" s="53">
        <v>8.61</v>
      </c>
      <c r="F14" s="106" t="s">
        <v>33</v>
      </c>
      <c r="G14" s="77">
        <f t="shared" si="1"/>
        <v>2212500</v>
      </c>
      <c r="H14" s="58">
        <f t="shared" si="0"/>
        <v>53832.116788321167</v>
      </c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54"/>
      <c r="T14" s="54"/>
      <c r="U14" s="54"/>
      <c r="V14" s="54"/>
      <c r="W14" s="54"/>
      <c r="X14" s="54"/>
      <c r="Y14" s="54"/>
      <c r="Z14" s="54"/>
    </row>
    <row r="15" spans="2:26" ht="16.95" customHeight="1" x14ac:dyDescent="0.3">
      <c r="B15" s="11">
        <v>12</v>
      </c>
      <c r="C15" s="11" t="s">
        <v>1</v>
      </c>
      <c r="D15" s="53">
        <f>5.98+19.98+4.07+5.1</f>
        <v>35.130000000000003</v>
      </c>
      <c r="E15" s="53">
        <v>9.73</v>
      </c>
      <c r="F15" s="106" t="s">
        <v>33</v>
      </c>
      <c r="G15" s="77">
        <f t="shared" si="1"/>
        <v>1974095.0000000002</v>
      </c>
      <c r="H15" s="58">
        <f t="shared" si="0"/>
        <v>56193.993737546261</v>
      </c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54"/>
      <c r="T15" s="54"/>
      <c r="U15" s="54"/>
      <c r="V15" s="54"/>
      <c r="W15" s="54"/>
      <c r="X15" s="54"/>
      <c r="Y15" s="54"/>
      <c r="Z15" s="54"/>
    </row>
    <row r="16" spans="2:26" ht="16.95" customHeight="1" x14ac:dyDescent="0.3">
      <c r="B16" s="11">
        <v>13</v>
      </c>
      <c r="C16" s="11" t="s">
        <v>2</v>
      </c>
      <c r="D16" s="53">
        <f>7.27+21.94+7.06+13.88+2.33+4.67</f>
        <v>57.150000000000006</v>
      </c>
      <c r="E16" s="53">
        <v>13.99</v>
      </c>
      <c r="F16" s="106" t="s">
        <v>33</v>
      </c>
      <c r="G16" s="77">
        <f t="shared" si="1"/>
        <v>3147125.0000000005</v>
      </c>
      <c r="H16" s="58">
        <f t="shared" si="0"/>
        <v>55067.804024496938</v>
      </c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54"/>
      <c r="T16" s="54"/>
      <c r="U16" s="54"/>
      <c r="V16" s="54"/>
      <c r="W16" s="54"/>
      <c r="X16" s="54"/>
      <c r="Y16" s="54"/>
      <c r="Z16" s="54"/>
    </row>
    <row r="17" spans="2:26" ht="16.95" customHeight="1" x14ac:dyDescent="0.3">
      <c r="B17" s="11">
        <v>14</v>
      </c>
      <c r="C17" s="11" t="s">
        <v>3</v>
      </c>
      <c r="D17" s="53">
        <f>4.1+3.53+3.84+19.68</f>
        <v>31.15</v>
      </c>
      <c r="E17" s="53">
        <v>4.63</v>
      </c>
      <c r="F17" s="106" t="s">
        <v>33</v>
      </c>
      <c r="G17" s="77">
        <f t="shared" si="1"/>
        <v>1610525</v>
      </c>
      <c r="H17" s="58">
        <f t="shared" si="0"/>
        <v>51702.247191011236</v>
      </c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54"/>
      <c r="T17" s="54"/>
      <c r="U17" s="54"/>
      <c r="V17" s="54"/>
      <c r="W17" s="54"/>
      <c r="X17" s="54"/>
      <c r="Y17" s="54"/>
      <c r="Z17" s="54"/>
    </row>
    <row r="18" spans="2:26" ht="16.95" customHeight="1" x14ac:dyDescent="0.3">
      <c r="B18" s="11">
        <v>15</v>
      </c>
      <c r="C18" s="11" t="s">
        <v>1</v>
      </c>
      <c r="D18" s="53">
        <f>3.36+4.45+19.16+4.7</f>
        <v>31.669999999999998</v>
      </c>
      <c r="E18" s="53">
        <v>4.63</v>
      </c>
      <c r="F18" s="106" t="s">
        <v>33</v>
      </c>
      <c r="G18" s="77">
        <f t="shared" si="1"/>
        <v>1634705</v>
      </c>
      <c r="H18" s="58">
        <f t="shared" si="0"/>
        <v>51616.829807388698</v>
      </c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54"/>
      <c r="T18" s="54"/>
      <c r="U18" s="54"/>
      <c r="V18" s="54"/>
      <c r="W18" s="54"/>
      <c r="X18" s="54"/>
      <c r="Y18" s="54"/>
      <c r="Z18" s="54"/>
    </row>
    <row r="19" spans="2:26" ht="16.95" customHeight="1" x14ac:dyDescent="0.3">
      <c r="B19" s="11">
        <v>16</v>
      </c>
      <c r="C19" s="11" t="s">
        <v>1</v>
      </c>
      <c r="D19" s="53">
        <f>3.08+4.8+20.27+4.7</f>
        <v>32.85</v>
      </c>
      <c r="E19" s="53">
        <v>4.63</v>
      </c>
      <c r="F19" s="106" t="s">
        <v>33</v>
      </c>
      <c r="G19" s="77">
        <f t="shared" si="1"/>
        <v>1689575</v>
      </c>
      <c r="H19" s="58">
        <f t="shared" si="0"/>
        <v>51433.028919330289</v>
      </c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54"/>
      <c r="T19" s="54"/>
      <c r="U19" s="54"/>
      <c r="V19" s="54"/>
      <c r="W19" s="54"/>
      <c r="X19" s="54"/>
      <c r="Y19" s="54"/>
      <c r="Z19" s="54"/>
    </row>
    <row r="20" spans="2:26" ht="16.95" customHeight="1" x14ac:dyDescent="0.3">
      <c r="B20" s="11">
        <v>17</v>
      </c>
      <c r="C20" s="11" t="s">
        <v>1</v>
      </c>
      <c r="D20" s="53">
        <f>3.07+4.8+20.27+4.7</f>
        <v>32.840000000000003</v>
      </c>
      <c r="E20" s="53">
        <v>4.63</v>
      </c>
      <c r="F20" s="106" t="s">
        <v>33</v>
      </c>
      <c r="G20" s="77">
        <f t="shared" si="1"/>
        <v>1689110.0000000002</v>
      </c>
      <c r="H20" s="58">
        <f t="shared" si="0"/>
        <v>51434.531059683315</v>
      </c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54"/>
      <c r="T20" s="54"/>
      <c r="U20" s="54"/>
      <c r="V20" s="54"/>
      <c r="W20" s="54"/>
      <c r="X20" s="54"/>
      <c r="Y20" s="54"/>
      <c r="Z20" s="54"/>
    </row>
    <row r="21" spans="2:26" ht="16.95" customHeight="1" x14ac:dyDescent="0.3">
      <c r="B21" s="11">
        <v>18</v>
      </c>
      <c r="C21" s="11" t="s">
        <v>2</v>
      </c>
      <c r="D21" s="53">
        <f>12.12+1.14+3.62+12.34+22.54+5.54</f>
        <v>57.3</v>
      </c>
      <c r="E21" s="53">
        <v>4.43</v>
      </c>
      <c r="F21" s="106" t="s">
        <v>33</v>
      </c>
      <c r="G21" s="77">
        <f t="shared" si="1"/>
        <v>2819500</v>
      </c>
      <c r="H21" s="58">
        <f t="shared" si="0"/>
        <v>49205.933682373477</v>
      </c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54"/>
      <c r="T21" s="54"/>
      <c r="U21" s="54"/>
      <c r="V21" s="54"/>
      <c r="W21" s="54"/>
      <c r="X21" s="54"/>
      <c r="Y21" s="54"/>
      <c r="Z21" s="54"/>
    </row>
    <row r="22" spans="2:26" ht="16.95" customHeight="1" x14ac:dyDescent="0.3">
      <c r="B22" s="11">
        <v>19</v>
      </c>
      <c r="C22" s="11" t="s">
        <v>2</v>
      </c>
      <c r="D22" s="53">
        <f>5.34+3.68+4.23+1.16+4.57+13.98+20.2+5.26</f>
        <v>58.419999999999995</v>
      </c>
      <c r="E22" s="53">
        <f>7+18.54</f>
        <v>25.54</v>
      </c>
      <c r="F22" s="106" t="s">
        <v>33</v>
      </c>
      <c r="G22" s="77">
        <f>$M$4*D22+$M$6*E22</f>
        <v>3014496.666666666</v>
      </c>
      <c r="H22" s="58">
        <f t="shared" si="0"/>
        <v>51600.422229829965</v>
      </c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54"/>
      <c r="T22" s="54"/>
      <c r="U22" s="54"/>
      <c r="V22" s="54"/>
      <c r="W22" s="54"/>
      <c r="X22" s="54"/>
      <c r="Y22" s="54"/>
      <c r="Z22" s="54"/>
    </row>
    <row r="23" spans="2:26" ht="16.95" customHeight="1" thickBot="1" x14ac:dyDescent="0.35">
      <c r="B23" s="14">
        <v>20</v>
      </c>
      <c r="C23" s="14" t="s">
        <v>2</v>
      </c>
      <c r="D23" s="62">
        <f>8.44+6.34+13.44+28.98+7.22</f>
        <v>64.42</v>
      </c>
      <c r="E23" s="62">
        <f>8.61+116.44</f>
        <v>125.05</v>
      </c>
      <c r="F23" s="113" t="s">
        <v>33</v>
      </c>
      <c r="G23" s="38">
        <f>$M$4*D23+$M$6*E23</f>
        <v>4454446.666666666</v>
      </c>
      <c r="H23" s="64">
        <f t="shared" si="0"/>
        <v>69146.952292248767</v>
      </c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54"/>
      <c r="T23" s="54"/>
      <c r="U23" s="54"/>
      <c r="V23" s="54"/>
      <c r="W23" s="54"/>
      <c r="X23" s="54"/>
      <c r="Y23" s="54"/>
      <c r="Z23" s="54"/>
    </row>
    <row r="24" spans="2:26" ht="16.95" customHeight="1" thickTop="1" x14ac:dyDescent="0.3">
      <c r="B24" s="98"/>
      <c r="C24" s="99" t="s">
        <v>17</v>
      </c>
      <c r="D24" s="130">
        <f>SUM(D4:D23)</f>
        <v>929.59999999999991</v>
      </c>
      <c r="E24" s="130">
        <f>SUM(E4:E23)</f>
        <v>256.86999999999995</v>
      </c>
      <c r="F24" s="130">
        <f>SUM(F4:F23)</f>
        <v>805.95999999999992</v>
      </c>
      <c r="G24" s="85">
        <f>SUM(G4:G23)</f>
        <v>54284383.333333328</v>
      </c>
      <c r="H24" s="85">
        <f>AVERAGE(H4:H23)</f>
        <v>58545.746626595632</v>
      </c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54"/>
      <c r="T24" s="54"/>
      <c r="U24" s="54"/>
      <c r="V24" s="54"/>
      <c r="W24" s="54"/>
      <c r="X24" s="54"/>
      <c r="Y24" s="54"/>
      <c r="Z24" s="54"/>
    </row>
    <row r="25" spans="2:26" x14ac:dyDescent="0.3"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54"/>
      <c r="T25" s="54"/>
      <c r="U25" s="54"/>
      <c r="V25" s="54"/>
      <c r="W25" s="54"/>
      <c r="X25" s="54"/>
      <c r="Y25" s="54"/>
      <c r="Z25" s="54"/>
    </row>
    <row r="26" spans="2:26" x14ac:dyDescent="0.3"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</row>
    <row r="27" spans="2:26" x14ac:dyDescent="0.3"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</row>
    <row r="28" spans="2:26" x14ac:dyDescent="0.3"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</row>
    <row r="29" spans="2:26" x14ac:dyDescent="0.3"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</row>
    <row r="30" spans="2:26" x14ac:dyDescent="0.3"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</row>
    <row r="31" spans="2:26" x14ac:dyDescent="0.3"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</row>
    <row r="32" spans="2:26" x14ac:dyDescent="0.3"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</row>
    <row r="33" spans="2:26" x14ac:dyDescent="0.3"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</row>
    <row r="34" spans="2:26" x14ac:dyDescent="0.3"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</row>
    <row r="35" spans="2:26" x14ac:dyDescent="0.3"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10"/>
  <sheetViews>
    <sheetView topLeftCell="N1" workbookViewId="0">
      <selection activeCell="V6" sqref="V6"/>
    </sheetView>
  </sheetViews>
  <sheetFormatPr defaultRowHeight="14.4" x14ac:dyDescent="0.3"/>
  <cols>
    <col min="2" max="2" width="20" customWidth="1"/>
    <col min="9" max="9" width="25.21875" customWidth="1"/>
    <col min="10" max="10" width="14" customWidth="1"/>
    <col min="11" max="11" width="26.33203125" customWidth="1"/>
    <col min="13" max="13" width="17.77734375" customWidth="1"/>
    <col min="14" max="14" width="13.33203125" customWidth="1"/>
    <col min="15" max="15" width="13.77734375" customWidth="1"/>
    <col min="16" max="16" width="17.5546875" customWidth="1"/>
    <col min="17" max="17" width="19.77734375" customWidth="1"/>
    <col min="19" max="19" width="24.88671875" customWidth="1"/>
    <col min="20" max="20" width="21.33203125" customWidth="1"/>
    <col min="22" max="22" width="34.21875" customWidth="1"/>
    <col min="24" max="24" width="20.88671875" customWidth="1"/>
  </cols>
  <sheetData>
    <row r="2" spans="2:24" ht="17.399999999999999" x14ac:dyDescent="0.3">
      <c r="B2" s="4" t="s">
        <v>197</v>
      </c>
      <c r="C2" s="4"/>
      <c r="D2" s="4"/>
      <c r="E2" s="4"/>
      <c r="F2" s="4"/>
      <c r="G2" s="4"/>
      <c r="H2" s="4"/>
      <c r="I2" s="4" t="s">
        <v>194</v>
      </c>
      <c r="J2" s="4"/>
      <c r="K2" s="4"/>
      <c r="L2" s="4"/>
      <c r="M2" s="4" t="s">
        <v>195</v>
      </c>
      <c r="N2" s="4"/>
      <c r="O2" s="4"/>
      <c r="P2" s="4"/>
      <c r="Q2" s="4"/>
      <c r="R2" s="4"/>
      <c r="S2" s="4" t="s">
        <v>198</v>
      </c>
      <c r="T2" s="4"/>
      <c r="U2" s="4"/>
      <c r="V2" s="4" t="s">
        <v>196</v>
      </c>
    </row>
    <row r="3" spans="2:24" ht="16.95" customHeight="1" thickBot="1" x14ac:dyDescent="0.35">
      <c r="B3" s="66" t="s">
        <v>168</v>
      </c>
      <c r="C3" s="66">
        <v>2012</v>
      </c>
      <c r="D3" s="66">
        <v>2013</v>
      </c>
      <c r="E3" s="66">
        <v>2014</v>
      </c>
      <c r="F3" s="66">
        <v>2015</v>
      </c>
      <c r="G3" s="66">
        <v>2016</v>
      </c>
      <c r="H3" s="49"/>
      <c r="I3" s="66" t="s">
        <v>28</v>
      </c>
      <c r="J3" s="66" t="s">
        <v>79</v>
      </c>
      <c r="K3" s="66" t="s">
        <v>169</v>
      </c>
      <c r="L3" s="49"/>
      <c r="M3" s="66" t="s">
        <v>28</v>
      </c>
      <c r="N3" s="66" t="s">
        <v>51</v>
      </c>
      <c r="O3" s="66" t="s">
        <v>52</v>
      </c>
      <c r="P3" s="66" t="s">
        <v>125</v>
      </c>
      <c r="Q3" s="66" t="s">
        <v>53</v>
      </c>
      <c r="S3" s="66" t="s">
        <v>28</v>
      </c>
      <c r="T3" s="80" t="s">
        <v>31</v>
      </c>
      <c r="V3" s="73" t="s">
        <v>4</v>
      </c>
      <c r="W3" s="73" t="s">
        <v>23</v>
      </c>
      <c r="X3" s="73" t="s">
        <v>27</v>
      </c>
    </row>
    <row r="4" spans="2:24" ht="16.95" customHeight="1" x14ac:dyDescent="0.3">
      <c r="B4" s="50" t="s">
        <v>171</v>
      </c>
      <c r="C4" s="55">
        <v>43679</v>
      </c>
      <c r="D4" s="55">
        <v>42213</v>
      </c>
      <c r="E4" s="55">
        <v>45851</v>
      </c>
      <c r="F4" s="55">
        <v>47765</v>
      </c>
      <c r="G4" s="6" t="s">
        <v>33</v>
      </c>
      <c r="H4" s="49"/>
      <c r="I4" s="67" t="s">
        <v>71</v>
      </c>
      <c r="J4" s="50">
        <v>73</v>
      </c>
      <c r="K4" s="68" t="s">
        <v>72</v>
      </c>
      <c r="L4" s="49"/>
      <c r="M4" s="50" t="s">
        <v>29</v>
      </c>
      <c r="N4" s="50">
        <v>116</v>
      </c>
      <c r="O4" s="50">
        <v>100</v>
      </c>
      <c r="P4" s="51">
        <f>O4/N4*100</f>
        <v>86.206896551724128</v>
      </c>
      <c r="Q4" s="72" t="s">
        <v>55</v>
      </c>
      <c r="S4" s="17" t="s">
        <v>29</v>
      </c>
      <c r="T4" s="7">
        <f>'Projekt Nad Volyňkou'!L12</f>
        <v>47283.656759877318</v>
      </c>
      <c r="V4" s="74" t="s">
        <v>26</v>
      </c>
      <c r="W4" s="28" t="s">
        <v>25</v>
      </c>
      <c r="X4" s="75">
        <v>25000</v>
      </c>
    </row>
    <row r="5" spans="2:24" ht="16.95" customHeight="1" x14ac:dyDescent="0.3">
      <c r="B5" s="49"/>
      <c r="C5" s="49"/>
      <c r="D5" s="49"/>
      <c r="E5" s="49"/>
      <c r="F5" s="49"/>
      <c r="G5" s="49"/>
      <c r="H5" s="49"/>
      <c r="I5" s="69" t="s">
        <v>73</v>
      </c>
      <c r="J5" s="52">
        <v>176</v>
      </c>
      <c r="K5" s="70" t="s">
        <v>78</v>
      </c>
      <c r="L5" s="49"/>
      <c r="M5" s="52" t="s">
        <v>5</v>
      </c>
      <c r="N5" s="52">
        <v>248</v>
      </c>
      <c r="O5" s="52">
        <v>232</v>
      </c>
      <c r="P5" s="53">
        <f>O5/N5*100</f>
        <v>93.548387096774192</v>
      </c>
      <c r="Q5" s="70" t="s">
        <v>54</v>
      </c>
      <c r="S5" s="18" t="s">
        <v>5</v>
      </c>
      <c r="T5" s="12">
        <f>'Projekt Vivus Uhříněves II.'!K12</f>
        <v>46160.369713975539</v>
      </c>
      <c r="V5" s="76" t="s">
        <v>20</v>
      </c>
      <c r="W5" s="29" t="s">
        <v>24</v>
      </c>
      <c r="X5" s="77">
        <v>210000</v>
      </c>
    </row>
    <row r="6" spans="2:24" ht="16.95" customHeight="1" thickBot="1" x14ac:dyDescent="0.35">
      <c r="B6" s="49"/>
      <c r="C6" s="49"/>
      <c r="D6" s="49"/>
      <c r="E6" s="49"/>
      <c r="F6" s="49"/>
      <c r="G6" s="49"/>
      <c r="H6" s="49"/>
      <c r="I6" s="71" t="s">
        <v>74</v>
      </c>
      <c r="J6" s="52">
        <v>57</v>
      </c>
      <c r="K6" s="70" t="s">
        <v>75</v>
      </c>
      <c r="L6" s="49"/>
      <c r="M6" s="52" t="s">
        <v>7</v>
      </c>
      <c r="N6" s="52">
        <v>117</v>
      </c>
      <c r="O6" s="52">
        <v>85</v>
      </c>
      <c r="P6" s="53">
        <f>O6/N6*100</f>
        <v>72.649572649572647</v>
      </c>
      <c r="Q6" s="70" t="s">
        <v>170</v>
      </c>
      <c r="S6" s="19" t="s">
        <v>7</v>
      </c>
      <c r="T6" s="15">
        <f>'Projekt U Starého mlýna'!J13</f>
        <v>45037.53871868243</v>
      </c>
      <c r="V6" s="78" t="s">
        <v>21</v>
      </c>
      <c r="W6" s="30" t="s">
        <v>25</v>
      </c>
      <c r="X6" s="79">
        <v>35000</v>
      </c>
    </row>
    <row r="7" spans="2:24" ht="16.95" customHeight="1" thickTop="1" x14ac:dyDescent="0.3">
      <c r="B7" s="49"/>
      <c r="C7" s="49"/>
      <c r="D7" s="49"/>
      <c r="E7" s="49"/>
      <c r="F7" s="49"/>
      <c r="G7" s="49"/>
      <c r="H7" s="49"/>
      <c r="I7" s="69" t="s">
        <v>76</v>
      </c>
      <c r="J7" s="52">
        <v>151</v>
      </c>
      <c r="K7" s="70" t="s">
        <v>77</v>
      </c>
      <c r="L7" s="49"/>
      <c r="M7" s="49"/>
      <c r="N7" s="49"/>
      <c r="O7" s="49"/>
      <c r="P7" s="49"/>
      <c r="Q7" s="49"/>
      <c r="S7" s="81" t="s">
        <v>30</v>
      </c>
      <c r="T7" s="82">
        <f>AVERAGE(T4:T6)</f>
        <v>46160.521730845096</v>
      </c>
      <c r="V7" s="78" t="s">
        <v>22</v>
      </c>
      <c r="W7" s="30" t="s">
        <v>25</v>
      </c>
      <c r="X7" s="79">
        <f>X6/3</f>
        <v>11666.666666666666</v>
      </c>
    </row>
    <row r="8" spans="2:24" ht="16.8" x14ac:dyDescent="0.3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V8" s="78" t="s">
        <v>38</v>
      </c>
      <c r="W8" s="30" t="s">
        <v>25</v>
      </c>
      <c r="X8" s="79">
        <v>10000</v>
      </c>
    </row>
    <row r="9" spans="2:24" ht="16.8" x14ac:dyDescent="0.3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V9" s="78" t="s">
        <v>39</v>
      </c>
      <c r="W9" s="30" t="s">
        <v>25</v>
      </c>
      <c r="X9" s="79">
        <f>X8/2</f>
        <v>5000</v>
      </c>
    </row>
    <row r="10" spans="2:24" x14ac:dyDescent="0.3">
      <c r="B10" s="43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opLeftCell="I1" workbookViewId="0">
      <selection activeCell="R20" sqref="R20"/>
    </sheetView>
  </sheetViews>
  <sheetFormatPr defaultRowHeight="14.4" x14ac:dyDescent="0.3"/>
  <cols>
    <col min="1" max="1" width="17.21875" customWidth="1"/>
    <col min="2" max="2" width="9.44140625" customWidth="1"/>
    <col min="4" max="4" width="15.6640625" customWidth="1"/>
    <col min="5" max="5" width="16.88671875" customWidth="1"/>
    <col min="6" max="6" width="13.109375" customWidth="1"/>
    <col min="7" max="7" width="16.44140625" customWidth="1"/>
    <col min="8" max="8" width="14.88671875" customWidth="1"/>
    <col min="9" max="9" width="13.21875" customWidth="1"/>
    <col min="10" max="10" width="13.6640625" customWidth="1"/>
    <col min="11" max="11" width="29.44140625" customWidth="1"/>
    <col min="12" max="12" width="7.33203125" customWidth="1"/>
    <col min="13" max="13" width="32.77734375" customWidth="1"/>
    <col min="14" max="14" width="6.77734375" customWidth="1"/>
    <col min="15" max="15" width="11.77734375" customWidth="1"/>
    <col min="16" max="16" width="5.77734375" customWidth="1"/>
    <col min="17" max="17" width="10.77734375" customWidth="1"/>
    <col min="18" max="20" width="15.33203125" customWidth="1"/>
    <col min="21" max="21" width="25.77734375" customWidth="1"/>
  </cols>
  <sheetData>
    <row r="1" spans="1:2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21" x14ac:dyDescent="0.3">
      <c r="A2" s="4"/>
      <c r="B2" s="4" t="s">
        <v>201</v>
      </c>
      <c r="M2" t="s">
        <v>199</v>
      </c>
      <c r="Q2" t="s">
        <v>80</v>
      </c>
    </row>
    <row r="3" spans="1:21" ht="34.049999999999997" customHeight="1" thickBot="1" x14ac:dyDescent="0.35">
      <c r="A3" s="1"/>
      <c r="B3" s="80" t="s">
        <v>34</v>
      </c>
      <c r="C3" s="66" t="s">
        <v>8</v>
      </c>
      <c r="D3" s="80" t="s">
        <v>41</v>
      </c>
      <c r="E3" s="80" t="s">
        <v>18</v>
      </c>
      <c r="F3" s="80" t="s">
        <v>16</v>
      </c>
      <c r="G3" s="80" t="s">
        <v>13</v>
      </c>
      <c r="H3" s="66" t="s">
        <v>6</v>
      </c>
      <c r="I3" s="80" t="s">
        <v>9</v>
      </c>
      <c r="J3" s="83" t="s">
        <v>10</v>
      </c>
      <c r="K3" s="80" t="s">
        <v>19</v>
      </c>
      <c r="L3" s="54"/>
      <c r="M3" s="73" t="s">
        <v>4</v>
      </c>
      <c r="N3" s="73" t="s">
        <v>23</v>
      </c>
      <c r="O3" s="73" t="s">
        <v>27</v>
      </c>
      <c r="P3" s="54"/>
      <c r="Q3" s="80" t="str">
        <f t="shared" ref="Q3:Q11" si="0">B3</f>
        <v>Ozn. bytu</v>
      </c>
      <c r="R3" s="80" t="s">
        <v>41</v>
      </c>
      <c r="S3" s="80" t="s">
        <v>18</v>
      </c>
      <c r="T3" s="83" t="str">
        <f t="shared" ref="T3:T11" si="1">J3</f>
        <v>Cena celkem bez DPH (Kč)</v>
      </c>
      <c r="U3" s="80" t="s">
        <v>19</v>
      </c>
    </row>
    <row r="4" spans="1:21" ht="16.95" customHeight="1" x14ac:dyDescent="0.3">
      <c r="B4" s="6">
        <v>1</v>
      </c>
      <c r="C4" s="6" t="s">
        <v>0</v>
      </c>
      <c r="D4" s="51">
        <f>82.58-4.02</f>
        <v>78.56</v>
      </c>
      <c r="E4" s="51">
        <f>D4*0.95</f>
        <v>74.632000000000005</v>
      </c>
      <c r="F4" s="51">
        <v>4.0199999999999996</v>
      </c>
      <c r="G4" s="51">
        <v>7.58</v>
      </c>
      <c r="H4" s="6" t="s">
        <v>11</v>
      </c>
      <c r="I4" s="55">
        <v>4440464</v>
      </c>
      <c r="J4" s="57">
        <f>I4/1.15</f>
        <v>3861273.0434782612</v>
      </c>
      <c r="K4" s="58">
        <f>(J4-$O$4*F4-$O$5-$O$6*G4)/E4</f>
        <v>44022.31004767742</v>
      </c>
      <c r="L4" s="54"/>
      <c r="M4" s="74" t="s">
        <v>26</v>
      </c>
      <c r="N4" s="28" t="s">
        <v>25</v>
      </c>
      <c r="O4" s="75">
        <v>25000</v>
      </c>
      <c r="P4" s="54"/>
      <c r="Q4" s="6">
        <f t="shared" si="0"/>
        <v>1</v>
      </c>
      <c r="R4" s="51">
        <f t="shared" ref="R4:R11" si="2">D4</f>
        <v>78.56</v>
      </c>
      <c r="S4" s="51">
        <f t="shared" ref="S4:S11" si="3">E4</f>
        <v>74.632000000000005</v>
      </c>
      <c r="T4" s="57">
        <f t="shared" si="1"/>
        <v>3861273.0434782612</v>
      </c>
      <c r="U4" s="58">
        <f t="shared" ref="U4:U12" si="4">K4</f>
        <v>44022.31004767742</v>
      </c>
    </row>
    <row r="5" spans="1:21" ht="16.95" customHeight="1" x14ac:dyDescent="0.3">
      <c r="B5" s="11">
        <v>2</v>
      </c>
      <c r="C5" s="11" t="s">
        <v>0</v>
      </c>
      <c r="D5" s="53">
        <f>59.37-3.8</f>
        <v>55.57</v>
      </c>
      <c r="E5" s="51">
        <f t="shared" ref="E5:E11" si="5">D5*0.95</f>
        <v>52.791499999999999</v>
      </c>
      <c r="F5" s="53">
        <v>3.8</v>
      </c>
      <c r="G5" s="53">
        <v>2.7</v>
      </c>
      <c r="H5" s="11" t="s">
        <v>11</v>
      </c>
      <c r="I5" s="58">
        <v>3447497</v>
      </c>
      <c r="J5" s="59">
        <f t="shared" ref="J5:J11" si="6">I5/1.15</f>
        <v>2997823.4782608696</v>
      </c>
      <c r="K5" s="58">
        <f>(J5-$O$4*F5-$O$5-$O$6*G5)/E5</f>
        <v>49218.595384879569</v>
      </c>
      <c r="L5" s="54"/>
      <c r="M5" s="76" t="s">
        <v>20</v>
      </c>
      <c r="N5" s="29" t="s">
        <v>24</v>
      </c>
      <c r="O5" s="77">
        <v>210000</v>
      </c>
      <c r="P5" s="54"/>
      <c r="Q5" s="11">
        <f t="shared" si="0"/>
        <v>2</v>
      </c>
      <c r="R5" s="53">
        <f t="shared" si="2"/>
        <v>55.57</v>
      </c>
      <c r="S5" s="51">
        <f t="shared" si="3"/>
        <v>52.791499999999999</v>
      </c>
      <c r="T5" s="59">
        <f t="shared" si="1"/>
        <v>2997823.4782608696</v>
      </c>
      <c r="U5" s="58">
        <f t="shared" si="4"/>
        <v>49218.595384879569</v>
      </c>
    </row>
    <row r="6" spans="1:21" ht="16.95" customHeight="1" x14ac:dyDescent="0.3">
      <c r="B6" s="11">
        <v>3</v>
      </c>
      <c r="C6" s="11" t="s">
        <v>2</v>
      </c>
      <c r="D6" s="53">
        <f>52.15-3.9</f>
        <v>48.25</v>
      </c>
      <c r="E6" s="51">
        <f t="shared" si="5"/>
        <v>45.837499999999999</v>
      </c>
      <c r="F6" s="53">
        <v>3.9</v>
      </c>
      <c r="G6" s="53">
        <v>46.9</v>
      </c>
      <c r="H6" s="11" t="s">
        <v>33</v>
      </c>
      <c r="I6" s="58">
        <v>2790949</v>
      </c>
      <c r="J6" s="59">
        <f t="shared" si="6"/>
        <v>2426912.1739130435</v>
      </c>
      <c r="K6" s="58">
        <f>(J6-$O$4*F6-$O$7*G6)/E6</f>
        <v>38881.821810665439</v>
      </c>
      <c r="L6" s="54"/>
      <c r="M6" s="78" t="s">
        <v>21</v>
      </c>
      <c r="N6" s="30" t="s">
        <v>25</v>
      </c>
      <c r="O6" s="79">
        <v>35000</v>
      </c>
      <c r="P6" s="54"/>
      <c r="Q6" s="11">
        <f t="shared" si="0"/>
        <v>3</v>
      </c>
      <c r="R6" s="53">
        <f t="shared" si="2"/>
        <v>48.25</v>
      </c>
      <c r="S6" s="51">
        <f t="shared" si="3"/>
        <v>45.837499999999999</v>
      </c>
      <c r="T6" s="59">
        <f t="shared" si="1"/>
        <v>2426912.1739130435</v>
      </c>
      <c r="U6" s="58">
        <f t="shared" si="4"/>
        <v>38881.821810665439</v>
      </c>
    </row>
    <row r="7" spans="1:21" ht="16.95" customHeight="1" x14ac:dyDescent="0.3">
      <c r="B7" s="11">
        <v>4</v>
      </c>
      <c r="C7" s="11" t="s">
        <v>2</v>
      </c>
      <c r="D7" s="53">
        <f>60.26-4.95</f>
        <v>55.309999999999995</v>
      </c>
      <c r="E7" s="51">
        <f t="shared" si="5"/>
        <v>52.544499999999992</v>
      </c>
      <c r="F7" s="53">
        <v>4.95</v>
      </c>
      <c r="G7" s="53">
        <v>61.48</v>
      </c>
      <c r="H7" s="11" t="s">
        <v>11</v>
      </c>
      <c r="I7" s="58">
        <v>3274900</v>
      </c>
      <c r="J7" s="59">
        <f t="shared" si="6"/>
        <v>2847739.1304347827</v>
      </c>
      <c r="K7" s="58">
        <f>(J7-$O$4*F7-$O$5-$O$7*G7)/E7</f>
        <v>34194.301283067049</v>
      </c>
      <c r="L7" s="54"/>
      <c r="M7" s="78" t="s">
        <v>22</v>
      </c>
      <c r="N7" s="30" t="s">
        <v>25</v>
      </c>
      <c r="O7" s="79">
        <f>O6/3</f>
        <v>11666.666666666666</v>
      </c>
      <c r="P7" s="54"/>
      <c r="Q7" s="11">
        <f t="shared" si="0"/>
        <v>4</v>
      </c>
      <c r="R7" s="53">
        <f t="shared" si="2"/>
        <v>55.309999999999995</v>
      </c>
      <c r="S7" s="51">
        <f t="shared" si="3"/>
        <v>52.544499999999992</v>
      </c>
      <c r="T7" s="59">
        <f t="shared" si="1"/>
        <v>2847739.1304347827</v>
      </c>
      <c r="U7" s="58">
        <f t="shared" si="4"/>
        <v>34194.301283067049</v>
      </c>
    </row>
    <row r="8" spans="1:21" ht="16.95" customHeight="1" x14ac:dyDescent="0.3">
      <c r="B8" s="11">
        <v>5</v>
      </c>
      <c r="C8" s="11" t="s">
        <v>0</v>
      </c>
      <c r="D8" s="53">
        <f>60.45-4.87</f>
        <v>55.580000000000005</v>
      </c>
      <c r="E8" s="51">
        <f t="shared" si="5"/>
        <v>52.801000000000002</v>
      </c>
      <c r="F8" s="53">
        <v>4.87</v>
      </c>
      <c r="G8" s="53">
        <v>2.74</v>
      </c>
      <c r="H8" s="11" t="s">
        <v>11</v>
      </c>
      <c r="I8" s="58">
        <v>3410685</v>
      </c>
      <c r="J8" s="59">
        <f t="shared" si="6"/>
        <v>2965813.0434782612</v>
      </c>
      <c r="K8" s="58">
        <f>(J8-$O$4*F8-$O$5-$O$6*G8)/E8</f>
        <v>48070.359339373521</v>
      </c>
      <c r="L8" s="54"/>
      <c r="M8" s="61"/>
      <c r="N8" s="61"/>
      <c r="O8" s="56"/>
      <c r="P8" s="54"/>
      <c r="Q8" s="11">
        <f t="shared" si="0"/>
        <v>5</v>
      </c>
      <c r="R8" s="53">
        <f t="shared" si="2"/>
        <v>55.580000000000005</v>
      </c>
      <c r="S8" s="51">
        <f t="shared" si="3"/>
        <v>52.801000000000002</v>
      </c>
      <c r="T8" s="59">
        <f t="shared" si="1"/>
        <v>2965813.0434782612</v>
      </c>
      <c r="U8" s="58">
        <f t="shared" si="4"/>
        <v>48070.359339373521</v>
      </c>
    </row>
    <row r="9" spans="1:21" ht="16.95" customHeight="1" x14ac:dyDescent="0.3">
      <c r="B9" s="11">
        <v>6</v>
      </c>
      <c r="C9" s="11" t="s">
        <v>0</v>
      </c>
      <c r="D9" s="53">
        <f>59.65-4.07</f>
        <v>55.58</v>
      </c>
      <c r="E9" s="51">
        <f t="shared" si="5"/>
        <v>52.800999999999995</v>
      </c>
      <c r="F9" s="53">
        <v>4.07</v>
      </c>
      <c r="G9" s="53">
        <v>2.59</v>
      </c>
      <c r="H9" s="11" t="s">
        <v>11</v>
      </c>
      <c r="I9" s="58">
        <v>3528790</v>
      </c>
      <c r="J9" s="59">
        <f t="shared" si="6"/>
        <v>3068513.0434782612</v>
      </c>
      <c r="K9" s="58">
        <f>(J9-$O$4*F9-$O$5-$O$6*G9)/E9</f>
        <v>50493.608899040955</v>
      </c>
      <c r="L9" s="54"/>
      <c r="M9" s="61"/>
      <c r="N9" s="61"/>
      <c r="O9" s="56"/>
      <c r="P9" s="54"/>
      <c r="Q9" s="11">
        <f t="shared" si="0"/>
        <v>6</v>
      </c>
      <c r="R9" s="53">
        <f t="shared" si="2"/>
        <v>55.58</v>
      </c>
      <c r="S9" s="51">
        <f t="shared" si="3"/>
        <v>52.800999999999995</v>
      </c>
      <c r="T9" s="59">
        <f t="shared" si="1"/>
        <v>3068513.0434782612</v>
      </c>
      <c r="U9" s="58">
        <f t="shared" si="4"/>
        <v>50493.608899040955</v>
      </c>
    </row>
    <row r="10" spans="1:21" ht="16.95" customHeight="1" x14ac:dyDescent="0.3">
      <c r="B10" s="11">
        <v>7</v>
      </c>
      <c r="C10" s="11" t="s">
        <v>2</v>
      </c>
      <c r="D10" s="53">
        <f>52.41-4.11</f>
        <v>48.3</v>
      </c>
      <c r="E10" s="51">
        <f t="shared" si="5"/>
        <v>45.884999999999998</v>
      </c>
      <c r="F10" s="53">
        <v>4.1100000000000003</v>
      </c>
      <c r="G10" s="53">
        <v>2.58</v>
      </c>
      <c r="H10" s="11" t="s">
        <v>33</v>
      </c>
      <c r="I10" s="58">
        <v>3018673</v>
      </c>
      <c r="J10" s="59">
        <f t="shared" si="6"/>
        <v>2624933.0434782612</v>
      </c>
      <c r="K10" s="58">
        <f>(J10-$O$4*F10-$O$6*G10)/E10</f>
        <v>52999.521488030106</v>
      </c>
      <c r="L10" s="54"/>
      <c r="M10" s="61"/>
      <c r="N10" s="61"/>
      <c r="O10" s="56"/>
      <c r="P10" s="54"/>
      <c r="Q10" s="11">
        <f t="shared" si="0"/>
        <v>7</v>
      </c>
      <c r="R10" s="53">
        <f t="shared" si="2"/>
        <v>48.3</v>
      </c>
      <c r="S10" s="51">
        <f t="shared" si="3"/>
        <v>45.884999999999998</v>
      </c>
      <c r="T10" s="59">
        <f t="shared" si="1"/>
        <v>2624933.0434782612</v>
      </c>
      <c r="U10" s="58">
        <f t="shared" si="4"/>
        <v>52999.521488030106</v>
      </c>
    </row>
    <row r="11" spans="1:21" ht="16.95" customHeight="1" thickBot="1" x14ac:dyDescent="0.35">
      <c r="B11" s="14">
        <v>8</v>
      </c>
      <c r="C11" s="14" t="s">
        <v>2</v>
      </c>
      <c r="D11" s="62">
        <f>56.43-8.28</f>
        <v>48.15</v>
      </c>
      <c r="E11" s="51">
        <f t="shared" si="5"/>
        <v>45.7425</v>
      </c>
      <c r="F11" s="62">
        <v>8.2799999999999994</v>
      </c>
      <c r="G11" s="62">
        <v>2.73</v>
      </c>
      <c r="H11" s="14" t="s">
        <v>11</v>
      </c>
      <c r="I11" s="64">
        <v>3293400</v>
      </c>
      <c r="J11" s="65">
        <f t="shared" si="6"/>
        <v>2863826.086956522</v>
      </c>
      <c r="K11" s="64">
        <f>(J11-$O$4*F11-$O$5-$O$6*G11)/E11</f>
        <v>51402.439459070272</v>
      </c>
      <c r="L11" s="54"/>
      <c r="M11" s="61"/>
      <c r="N11" s="61"/>
      <c r="O11" s="56"/>
      <c r="P11" s="54"/>
      <c r="Q11" s="14">
        <f t="shared" si="0"/>
        <v>8</v>
      </c>
      <c r="R11" s="62">
        <f t="shared" si="2"/>
        <v>48.15</v>
      </c>
      <c r="S11" s="51">
        <f t="shared" si="3"/>
        <v>45.7425</v>
      </c>
      <c r="T11" s="65">
        <f t="shared" si="1"/>
        <v>2863826.086956522</v>
      </c>
      <c r="U11" s="64">
        <f t="shared" si="4"/>
        <v>51402.439459070272</v>
      </c>
    </row>
    <row r="12" spans="1:21" ht="16.95" customHeight="1" thickTop="1" x14ac:dyDescent="0.3">
      <c r="B12" s="184"/>
      <c r="C12" s="185"/>
      <c r="D12" s="185"/>
      <c r="E12" s="185"/>
      <c r="F12" s="185"/>
      <c r="G12" s="185"/>
      <c r="H12" s="186" t="s">
        <v>15</v>
      </c>
      <c r="I12" s="186"/>
      <c r="J12" s="187"/>
      <c r="K12" s="85">
        <f>AVERAGE(K4:K11)</f>
        <v>46160.369713975539</v>
      </c>
      <c r="L12" s="54"/>
      <c r="M12" s="54"/>
      <c r="N12" s="54"/>
      <c r="O12" s="54"/>
      <c r="P12" s="54"/>
      <c r="Q12" s="281"/>
      <c r="R12" s="282"/>
      <c r="S12" s="283"/>
      <c r="T12" s="84" t="s">
        <v>42</v>
      </c>
      <c r="U12" s="85">
        <f t="shared" si="4"/>
        <v>46160.369713975539</v>
      </c>
    </row>
    <row r="13" spans="1:21" x14ac:dyDescent="0.3"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</row>
    <row r="16" spans="1:21" x14ac:dyDescent="0.3">
      <c r="A16" s="3"/>
      <c r="B16" s="2"/>
    </row>
    <row r="17" spans="2:2" x14ac:dyDescent="0.3">
      <c r="B17" s="4"/>
    </row>
    <row r="18" spans="2:2" x14ac:dyDescent="0.3">
      <c r="B18" s="4"/>
    </row>
    <row r="19" spans="2:2" x14ac:dyDescent="0.3">
      <c r="B19" s="4"/>
    </row>
    <row r="20" spans="2:2" x14ac:dyDescent="0.3">
      <c r="B20" s="4"/>
    </row>
    <row r="21" spans="2:2" x14ac:dyDescent="0.3">
      <c r="B21" s="4"/>
    </row>
    <row r="22" spans="2:2" x14ac:dyDescent="0.3">
      <c r="B22" s="4"/>
    </row>
    <row r="23" spans="2:2" x14ac:dyDescent="0.3">
      <c r="B23" s="4"/>
    </row>
  </sheetData>
  <mergeCells count="1">
    <mergeCell ref="Q12:S12"/>
  </mergeCells>
  <pageMargins left="0.7" right="0.7" top="0.78740157499999996" bottom="0.78740157499999996" header="0.3" footer="0.3"/>
  <ignoredErrors>
    <ignoredError sqref="K1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L9" sqref="L9"/>
    </sheetView>
  </sheetViews>
  <sheetFormatPr defaultRowHeight="14.4" x14ac:dyDescent="0.3"/>
  <cols>
    <col min="4" max="4" width="12" customWidth="1"/>
    <col min="5" max="5" width="16.5546875" customWidth="1"/>
    <col min="6" max="6" width="11.88671875" customWidth="1"/>
    <col min="7" max="7" width="15.44140625" customWidth="1"/>
    <col min="8" max="8" width="15.6640625" customWidth="1"/>
    <col min="9" max="9" width="14.21875" customWidth="1"/>
    <col min="10" max="10" width="15" customWidth="1"/>
    <col min="11" max="11" width="25.109375" customWidth="1"/>
    <col min="12" max="12" width="19.109375" customWidth="1"/>
    <col min="14" max="14" width="32.77734375" customWidth="1"/>
    <col min="15" max="15" width="6.77734375" customWidth="1"/>
    <col min="16" max="16" width="11.77734375" customWidth="1"/>
    <col min="19" max="19" width="10.77734375" customWidth="1"/>
    <col min="20" max="22" width="15.33203125" customWidth="1"/>
    <col min="23" max="23" width="25.77734375" customWidth="1"/>
  </cols>
  <sheetData>
    <row r="1" spans="1:23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23" x14ac:dyDescent="0.3">
      <c r="A2" s="16"/>
      <c r="B2" s="4" t="s">
        <v>200</v>
      </c>
      <c r="C2" s="4"/>
      <c r="D2" s="4"/>
      <c r="E2" s="4"/>
      <c r="F2" s="4"/>
      <c r="G2" s="4"/>
      <c r="H2" s="4"/>
      <c r="I2" s="4"/>
      <c r="J2" s="4"/>
      <c r="K2" s="4"/>
      <c r="N2" t="s">
        <v>199</v>
      </c>
      <c r="S2" t="s">
        <v>80</v>
      </c>
    </row>
    <row r="3" spans="1:23" ht="51" customHeight="1" thickBot="1" x14ac:dyDescent="0.35">
      <c r="A3" s="4"/>
      <c r="B3" s="66" t="s">
        <v>34</v>
      </c>
      <c r="C3" s="66" t="s">
        <v>8</v>
      </c>
      <c r="D3" s="80" t="s">
        <v>41</v>
      </c>
      <c r="E3" s="80" t="s">
        <v>18</v>
      </c>
      <c r="F3" s="80" t="s">
        <v>16</v>
      </c>
      <c r="G3" s="80" t="s">
        <v>13</v>
      </c>
      <c r="H3" s="66" t="s">
        <v>6</v>
      </c>
      <c r="I3" s="80" t="s">
        <v>9</v>
      </c>
      <c r="J3" s="80" t="s">
        <v>10</v>
      </c>
      <c r="K3" s="83" t="s">
        <v>184</v>
      </c>
      <c r="L3" s="80" t="s">
        <v>19</v>
      </c>
      <c r="M3" s="54"/>
      <c r="N3" s="73" t="s">
        <v>4</v>
      </c>
      <c r="O3" s="73" t="s">
        <v>23</v>
      </c>
      <c r="P3" s="73" t="s">
        <v>27</v>
      </c>
      <c r="Q3" s="27"/>
      <c r="R3" s="54"/>
      <c r="S3" s="80" t="str">
        <f t="shared" ref="S3:S11" si="0">B3</f>
        <v>Ozn. bytu</v>
      </c>
      <c r="T3" s="80" t="s">
        <v>41</v>
      </c>
      <c r="U3" s="80" t="s">
        <v>18</v>
      </c>
      <c r="V3" s="83" t="str">
        <f t="shared" ref="V3:V11" si="1">J3</f>
        <v>Cena celkem bez DPH (Kč)</v>
      </c>
      <c r="W3" s="80" t="s">
        <v>19</v>
      </c>
    </row>
    <row r="4" spans="1:23" ht="16.95" customHeight="1" x14ac:dyDescent="0.3">
      <c r="A4" s="4"/>
      <c r="B4" s="6">
        <v>1</v>
      </c>
      <c r="C4" s="6" t="s">
        <v>0</v>
      </c>
      <c r="D4" s="32">
        <v>83.4</v>
      </c>
      <c r="E4" s="51">
        <v>78.599999999999994</v>
      </c>
      <c r="F4" s="51">
        <v>4.7</v>
      </c>
      <c r="G4" s="50">
        <v>11.2</v>
      </c>
      <c r="H4" s="6" t="s">
        <v>11</v>
      </c>
      <c r="I4" s="55">
        <v>4527356</v>
      </c>
      <c r="J4" s="55">
        <f>I4/1.15</f>
        <v>3936831.3043478262</v>
      </c>
      <c r="K4" s="57">
        <v>41000</v>
      </c>
      <c r="L4" s="58">
        <f>(J4-$P$4*F4-$P$5-$P$6*G4)/E4</f>
        <v>40932.968248700083</v>
      </c>
      <c r="M4" s="54"/>
      <c r="N4" s="74" t="s">
        <v>26</v>
      </c>
      <c r="O4" s="28" t="s">
        <v>25</v>
      </c>
      <c r="P4" s="75">
        <v>25000</v>
      </c>
      <c r="Q4" s="56"/>
      <c r="R4" s="54"/>
      <c r="S4" s="6">
        <f t="shared" si="0"/>
        <v>1</v>
      </c>
      <c r="T4" s="51">
        <f t="shared" ref="T4:T11" si="2">D4</f>
        <v>83.4</v>
      </c>
      <c r="U4" s="51">
        <f t="shared" ref="U4:U11" si="3">E4</f>
        <v>78.599999999999994</v>
      </c>
      <c r="V4" s="57">
        <f t="shared" si="1"/>
        <v>3936831.3043478262</v>
      </c>
      <c r="W4" s="58">
        <f t="shared" ref="W4:W12" si="4">L4</f>
        <v>40932.968248700083</v>
      </c>
    </row>
    <row r="5" spans="1:23" ht="16.95" customHeight="1" x14ac:dyDescent="0.3">
      <c r="A5" s="4"/>
      <c r="B5" s="11">
        <v>2</v>
      </c>
      <c r="C5" s="11" t="s">
        <v>2</v>
      </c>
      <c r="D5" s="33">
        <v>52.3</v>
      </c>
      <c r="E5" s="53">
        <v>49.1</v>
      </c>
      <c r="F5" s="53">
        <v>2.5</v>
      </c>
      <c r="G5" s="52">
        <v>30.3</v>
      </c>
      <c r="H5" s="11" t="s">
        <v>11</v>
      </c>
      <c r="I5" s="58">
        <v>3802607</v>
      </c>
      <c r="J5" s="58">
        <f t="shared" ref="J5:J11" si="5">I5/1.15</f>
        <v>3306614.7826086958</v>
      </c>
      <c r="K5" s="59">
        <v>55000</v>
      </c>
      <c r="L5" s="58">
        <f>(J5-$P$4*F5-$P$5-$P$7*G5)/E5</f>
        <v>54595.005755777915</v>
      </c>
      <c r="M5" s="54"/>
      <c r="N5" s="76" t="s">
        <v>20</v>
      </c>
      <c r="O5" s="29" t="s">
        <v>24</v>
      </c>
      <c r="P5" s="77">
        <v>210000</v>
      </c>
      <c r="Q5" s="56"/>
      <c r="R5" s="54"/>
      <c r="S5" s="11">
        <f t="shared" si="0"/>
        <v>2</v>
      </c>
      <c r="T5" s="53">
        <f t="shared" si="2"/>
        <v>52.3</v>
      </c>
      <c r="U5" s="51">
        <f t="shared" si="3"/>
        <v>49.1</v>
      </c>
      <c r="V5" s="59">
        <f t="shared" si="1"/>
        <v>3306614.7826086958</v>
      </c>
      <c r="W5" s="58">
        <f t="shared" si="4"/>
        <v>54595.005755777915</v>
      </c>
    </row>
    <row r="6" spans="1:23" ht="16.95" customHeight="1" x14ac:dyDescent="0.3">
      <c r="B6" s="11">
        <v>3</v>
      </c>
      <c r="C6" s="11" t="s">
        <v>0</v>
      </c>
      <c r="D6" s="33">
        <v>83.8</v>
      </c>
      <c r="E6" s="53">
        <v>78.8</v>
      </c>
      <c r="F6" s="53">
        <v>3</v>
      </c>
      <c r="G6" s="52">
        <v>11.4</v>
      </c>
      <c r="H6" s="11" t="s">
        <v>11</v>
      </c>
      <c r="I6" s="58">
        <v>4757088</v>
      </c>
      <c r="J6" s="58">
        <f t="shared" si="5"/>
        <v>4136598.2608695654</v>
      </c>
      <c r="K6" s="59">
        <v>44000</v>
      </c>
      <c r="L6" s="58">
        <f>(J6-$P$4*F6-$P$5-$P$6*G6)/E6</f>
        <v>43814.698741999564</v>
      </c>
      <c r="M6" s="54"/>
      <c r="N6" s="78" t="s">
        <v>21</v>
      </c>
      <c r="O6" s="30" t="s">
        <v>25</v>
      </c>
      <c r="P6" s="79">
        <v>35000</v>
      </c>
      <c r="Q6" s="60"/>
      <c r="R6" s="54"/>
      <c r="S6" s="11">
        <f t="shared" si="0"/>
        <v>3</v>
      </c>
      <c r="T6" s="53">
        <f t="shared" si="2"/>
        <v>83.8</v>
      </c>
      <c r="U6" s="51">
        <f t="shared" si="3"/>
        <v>78.8</v>
      </c>
      <c r="V6" s="59">
        <f t="shared" si="1"/>
        <v>4136598.2608695654</v>
      </c>
      <c r="W6" s="58">
        <f t="shared" si="4"/>
        <v>43814.698741999564</v>
      </c>
    </row>
    <row r="7" spans="1:23" ht="16.95" customHeight="1" x14ac:dyDescent="0.3">
      <c r="B7" s="11">
        <v>4</v>
      </c>
      <c r="C7" s="11" t="s">
        <v>0</v>
      </c>
      <c r="D7" s="33">
        <v>87.8</v>
      </c>
      <c r="E7" s="53">
        <v>81.099999999999994</v>
      </c>
      <c r="F7" s="53">
        <v>7.3</v>
      </c>
      <c r="G7" s="52">
        <v>58.6</v>
      </c>
      <c r="H7" s="11" t="s">
        <v>11</v>
      </c>
      <c r="I7" s="58">
        <v>5844905</v>
      </c>
      <c r="J7" s="58">
        <f t="shared" si="5"/>
        <v>5082526.0869565224</v>
      </c>
      <c r="K7" s="59">
        <v>47000</v>
      </c>
      <c r="L7" s="58">
        <f>(J7-$P$4*F7-$P$5-$P$7*G7)/E7</f>
        <v>49400.239461033983</v>
      </c>
      <c r="M7" s="54"/>
      <c r="N7" s="78" t="s">
        <v>22</v>
      </c>
      <c r="O7" s="30" t="s">
        <v>25</v>
      </c>
      <c r="P7" s="79">
        <f>P6/3</f>
        <v>11666.666666666666</v>
      </c>
      <c r="Q7" s="60"/>
      <c r="R7" s="54"/>
      <c r="S7" s="11">
        <f t="shared" si="0"/>
        <v>4</v>
      </c>
      <c r="T7" s="53">
        <f t="shared" si="2"/>
        <v>87.8</v>
      </c>
      <c r="U7" s="51">
        <f t="shared" si="3"/>
        <v>81.099999999999994</v>
      </c>
      <c r="V7" s="59">
        <f t="shared" si="1"/>
        <v>5082526.0869565224</v>
      </c>
      <c r="W7" s="58">
        <f t="shared" si="4"/>
        <v>49400.239461033983</v>
      </c>
    </row>
    <row r="8" spans="1:23" ht="16.95" customHeight="1" x14ac:dyDescent="0.3">
      <c r="B8" s="11">
        <v>5</v>
      </c>
      <c r="C8" s="11" t="s">
        <v>2</v>
      </c>
      <c r="D8" s="33">
        <v>56.9</v>
      </c>
      <c r="E8" s="53">
        <v>52.7</v>
      </c>
      <c r="F8" s="53">
        <v>2.6</v>
      </c>
      <c r="G8" s="52">
        <v>13.5</v>
      </c>
      <c r="H8" s="11" t="s">
        <v>11</v>
      </c>
      <c r="I8" s="58">
        <v>3924063</v>
      </c>
      <c r="J8" s="58">
        <f t="shared" si="5"/>
        <v>3412228.6956521743</v>
      </c>
      <c r="K8" s="59">
        <v>53000</v>
      </c>
      <c r="L8" s="58">
        <f>(J8-$P$4*F8-$P$5-$P$6*G8)/E8</f>
        <v>50564.111871957764</v>
      </c>
      <c r="M8" s="54"/>
      <c r="N8" s="61"/>
      <c r="O8" s="61"/>
      <c r="P8" s="56"/>
      <c r="Q8" s="56"/>
      <c r="R8" s="54"/>
      <c r="S8" s="11">
        <f t="shared" si="0"/>
        <v>5</v>
      </c>
      <c r="T8" s="53">
        <f t="shared" si="2"/>
        <v>56.9</v>
      </c>
      <c r="U8" s="51">
        <f t="shared" si="3"/>
        <v>52.7</v>
      </c>
      <c r="V8" s="59">
        <f t="shared" si="1"/>
        <v>3412228.6956521743</v>
      </c>
      <c r="W8" s="58">
        <f t="shared" si="4"/>
        <v>50564.111871957764</v>
      </c>
    </row>
    <row r="9" spans="1:23" ht="16.95" customHeight="1" x14ac:dyDescent="0.3">
      <c r="B9" s="11">
        <v>6</v>
      </c>
      <c r="C9" s="11" t="s">
        <v>0</v>
      </c>
      <c r="D9" s="33">
        <v>88.6</v>
      </c>
      <c r="E9" s="53">
        <v>83.4</v>
      </c>
      <c r="F9" s="53">
        <v>3.2</v>
      </c>
      <c r="G9" s="52">
        <v>58.7</v>
      </c>
      <c r="H9" s="11" t="s">
        <v>11</v>
      </c>
      <c r="I9" s="58">
        <v>5734611</v>
      </c>
      <c r="J9" s="58">
        <f t="shared" si="5"/>
        <v>4986618.2608695654</v>
      </c>
      <c r="K9" s="59">
        <v>46000</v>
      </c>
      <c r="L9" s="58">
        <f>(J9-$P$4*F9-$P$5-$P$7*G9)/E9</f>
        <v>48102.936781009972</v>
      </c>
      <c r="M9" s="54"/>
      <c r="N9" s="61"/>
      <c r="O9" s="61"/>
      <c r="P9" s="56"/>
      <c r="Q9" s="56"/>
      <c r="R9" s="54"/>
      <c r="S9" s="11">
        <f t="shared" si="0"/>
        <v>6</v>
      </c>
      <c r="T9" s="53">
        <f t="shared" si="2"/>
        <v>88.6</v>
      </c>
      <c r="U9" s="51">
        <f t="shared" si="3"/>
        <v>83.4</v>
      </c>
      <c r="V9" s="59">
        <f t="shared" si="1"/>
        <v>4986618.2608695654</v>
      </c>
      <c r="W9" s="58">
        <f t="shared" si="4"/>
        <v>48102.936781009972</v>
      </c>
    </row>
    <row r="10" spans="1:23" ht="16.95" customHeight="1" x14ac:dyDescent="0.3">
      <c r="B10" s="11">
        <v>7</v>
      </c>
      <c r="C10" s="11" t="s">
        <v>0</v>
      </c>
      <c r="D10" s="33">
        <v>85.7</v>
      </c>
      <c r="E10" s="53">
        <v>81.2</v>
      </c>
      <c r="F10" s="53">
        <f>5.2+7.3</f>
        <v>12.5</v>
      </c>
      <c r="G10" s="52">
        <v>4.9000000000000004</v>
      </c>
      <c r="H10" s="11" t="s">
        <v>11</v>
      </c>
      <c r="I10" s="58">
        <v>5030205</v>
      </c>
      <c r="J10" s="58">
        <f t="shared" si="5"/>
        <v>4374091.3043478262</v>
      </c>
      <c r="K10" s="59">
        <v>45000</v>
      </c>
      <c r="L10" s="58">
        <f>(J10-$P$4*F10-$P$5-$P$6*G10)/E10</f>
        <v>45321.321482116087</v>
      </c>
      <c r="M10" s="54"/>
      <c r="N10" s="61"/>
      <c r="O10" s="61"/>
      <c r="P10" s="56"/>
      <c r="Q10" s="56"/>
      <c r="R10" s="54"/>
      <c r="S10" s="11">
        <f t="shared" si="0"/>
        <v>7</v>
      </c>
      <c r="T10" s="53">
        <f t="shared" si="2"/>
        <v>85.7</v>
      </c>
      <c r="U10" s="51">
        <f t="shared" si="3"/>
        <v>81.2</v>
      </c>
      <c r="V10" s="59">
        <f t="shared" si="1"/>
        <v>4374091.3043478262</v>
      </c>
      <c r="W10" s="58">
        <f t="shared" si="4"/>
        <v>45321.321482116087</v>
      </c>
    </row>
    <row r="11" spans="1:23" ht="16.95" customHeight="1" thickBot="1" x14ac:dyDescent="0.35">
      <c r="B11" s="14">
        <v>8</v>
      </c>
      <c r="C11" s="14" t="s">
        <v>0</v>
      </c>
      <c r="D11" s="34">
        <v>84.6</v>
      </c>
      <c r="E11" s="62">
        <v>80.3</v>
      </c>
      <c r="F11" s="62">
        <v>2.9</v>
      </c>
      <c r="G11" s="63">
        <v>4.5</v>
      </c>
      <c r="H11" s="14" t="s">
        <v>11</v>
      </c>
      <c r="I11" s="64">
        <v>4711204</v>
      </c>
      <c r="J11" s="64">
        <f t="shared" si="5"/>
        <v>4096699.1304347827</v>
      </c>
      <c r="K11" s="65">
        <v>45000</v>
      </c>
      <c r="L11" s="64">
        <f>(J11-$P$4*F11-$P$5-$P$6*G11)/E11</f>
        <v>45537.971736423198</v>
      </c>
      <c r="M11" s="54"/>
      <c r="N11" s="61"/>
      <c r="O11" s="61"/>
      <c r="P11" s="56"/>
      <c r="Q11" s="56"/>
      <c r="R11" s="54"/>
      <c r="S11" s="14">
        <f t="shared" si="0"/>
        <v>8</v>
      </c>
      <c r="T11" s="62">
        <f t="shared" si="2"/>
        <v>84.6</v>
      </c>
      <c r="U11" s="51">
        <f t="shared" si="3"/>
        <v>80.3</v>
      </c>
      <c r="V11" s="65">
        <f t="shared" si="1"/>
        <v>4096699.1304347827</v>
      </c>
      <c r="W11" s="64">
        <f t="shared" si="4"/>
        <v>45537.971736423198</v>
      </c>
    </row>
    <row r="12" spans="1:23" ht="16.95" customHeight="1" thickTop="1" x14ac:dyDescent="0.3">
      <c r="B12" s="184"/>
      <c r="C12" s="185"/>
      <c r="D12" s="185"/>
      <c r="E12" s="185"/>
      <c r="F12" s="185"/>
      <c r="G12" s="185"/>
      <c r="H12" s="186" t="s">
        <v>15</v>
      </c>
      <c r="I12" s="186"/>
      <c r="J12" s="186"/>
      <c r="K12" s="188">
        <f>AVERAGE(K4:K11)</f>
        <v>47000</v>
      </c>
      <c r="L12" s="85">
        <f>AVERAGE(L4:L11)</f>
        <v>47283.656759877318</v>
      </c>
      <c r="M12" s="54"/>
      <c r="N12" s="54"/>
      <c r="O12" s="54"/>
      <c r="P12" s="54"/>
      <c r="Q12" s="54"/>
      <c r="R12" s="54"/>
      <c r="S12" s="281"/>
      <c r="T12" s="282"/>
      <c r="U12" s="283"/>
      <c r="V12" s="84" t="s">
        <v>42</v>
      </c>
      <c r="W12" s="85">
        <f t="shared" si="4"/>
        <v>47283.656759877318</v>
      </c>
    </row>
    <row r="13" spans="1:23" x14ac:dyDescent="0.3"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</row>
    <row r="16" spans="1:23" x14ac:dyDescent="0.3">
      <c r="B16" s="2"/>
    </row>
    <row r="17" spans="2:2" x14ac:dyDescent="0.3">
      <c r="B17" s="2"/>
    </row>
    <row r="18" spans="2:2" x14ac:dyDescent="0.3">
      <c r="B18" s="2"/>
    </row>
    <row r="20" spans="2:2" x14ac:dyDescent="0.3">
      <c r="B20" s="2"/>
    </row>
    <row r="21" spans="2:2" x14ac:dyDescent="0.3">
      <c r="B21" s="2"/>
    </row>
    <row r="22" spans="2:2" x14ac:dyDescent="0.3">
      <c r="B22" s="2"/>
    </row>
    <row r="23" spans="2:2" x14ac:dyDescent="0.3">
      <c r="B23" s="2"/>
    </row>
  </sheetData>
  <mergeCells count="1">
    <mergeCell ref="S12:U12"/>
  </mergeCells>
  <pageMargins left="0.7" right="0.7" top="0.78740157499999996" bottom="0.78740157499999996" header="0.3" footer="0.3"/>
  <pageSetup paperSize="9" orientation="portrait" horizontalDpi="4294967293" verticalDpi="0" r:id="rId1"/>
  <ignoredErrors>
    <ignoredError sqref="L5 L7 L9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24"/>
  <sheetViews>
    <sheetView workbookViewId="0">
      <selection activeCell="J11" sqref="J11"/>
    </sheetView>
  </sheetViews>
  <sheetFormatPr defaultRowHeight="14.4" x14ac:dyDescent="0.3"/>
  <cols>
    <col min="3" max="3" width="8.88671875" customWidth="1"/>
    <col min="4" max="4" width="15.109375" customWidth="1"/>
    <col min="5" max="5" width="16.5546875" customWidth="1"/>
    <col min="6" max="6" width="17" customWidth="1"/>
    <col min="7" max="7" width="16.6640625" customWidth="1"/>
    <col min="8" max="8" width="14.6640625" customWidth="1"/>
    <col min="9" max="9" width="14.77734375" customWidth="1"/>
    <col min="10" max="10" width="24.6640625" customWidth="1"/>
    <col min="12" max="12" width="32.77734375" customWidth="1"/>
    <col min="13" max="13" width="6.77734375" customWidth="1"/>
    <col min="14" max="14" width="11.77734375" customWidth="1"/>
    <col min="16" max="16" width="10.77734375" customWidth="1"/>
    <col min="17" max="19" width="15.33203125" customWidth="1"/>
    <col min="20" max="20" width="25.77734375" customWidth="1"/>
    <col min="22" max="22" width="11.5546875" customWidth="1"/>
    <col min="23" max="23" width="17.109375" customWidth="1"/>
    <col min="24" max="24" width="13.6640625" customWidth="1"/>
    <col min="25" max="25" width="13.77734375" customWidth="1"/>
    <col min="26" max="26" width="20.77734375" customWidth="1"/>
  </cols>
  <sheetData>
    <row r="2" spans="1:26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26" x14ac:dyDescent="0.3">
      <c r="A3" s="4"/>
      <c r="B3" t="s">
        <v>202</v>
      </c>
      <c r="L3" t="s">
        <v>199</v>
      </c>
      <c r="P3" t="s">
        <v>80</v>
      </c>
      <c r="V3" t="s">
        <v>203</v>
      </c>
    </row>
    <row r="4" spans="1:26" ht="34.049999999999997" customHeight="1" thickBot="1" x14ac:dyDescent="0.35">
      <c r="B4" s="66" t="s">
        <v>34</v>
      </c>
      <c r="C4" s="66" t="s">
        <v>8</v>
      </c>
      <c r="D4" s="80" t="s">
        <v>41</v>
      </c>
      <c r="E4" s="80" t="s">
        <v>18</v>
      </c>
      <c r="F4" s="80" t="s">
        <v>13</v>
      </c>
      <c r="G4" s="80" t="s">
        <v>14</v>
      </c>
      <c r="H4" s="80" t="s">
        <v>9</v>
      </c>
      <c r="I4" s="83" t="s">
        <v>10</v>
      </c>
      <c r="J4" s="80" t="s">
        <v>19</v>
      </c>
      <c r="L4" s="73" t="s">
        <v>4</v>
      </c>
      <c r="M4" s="73" t="s">
        <v>23</v>
      </c>
      <c r="N4" s="73" t="s">
        <v>27</v>
      </c>
      <c r="P4" s="80" t="str">
        <f t="shared" ref="P4:P12" si="0">B4</f>
        <v>Ozn. bytu</v>
      </c>
      <c r="Q4" s="80" t="s">
        <v>41</v>
      </c>
      <c r="R4" s="80" t="s">
        <v>18</v>
      </c>
      <c r="S4" s="83" t="str">
        <f t="shared" ref="S4:S12" si="1">I4</f>
        <v>Cena celkem bez DPH (Kč)</v>
      </c>
      <c r="T4" s="80" t="s">
        <v>19</v>
      </c>
      <c r="V4" s="66" t="s">
        <v>12</v>
      </c>
      <c r="W4" s="66" t="s">
        <v>16</v>
      </c>
      <c r="X4" s="80" t="s">
        <v>9</v>
      </c>
      <c r="Y4" s="80" t="s">
        <v>10</v>
      </c>
      <c r="Z4" s="80" t="s">
        <v>40</v>
      </c>
    </row>
    <row r="5" spans="1:26" ht="16.95" customHeight="1" x14ac:dyDescent="0.3">
      <c r="B5" s="6">
        <v>1</v>
      </c>
      <c r="C5" s="6" t="s">
        <v>1</v>
      </c>
      <c r="D5" s="5">
        <v>35.6</v>
      </c>
      <c r="E5" s="5">
        <f>D5*0.95</f>
        <v>33.82</v>
      </c>
      <c r="F5" s="20" t="s">
        <v>33</v>
      </c>
      <c r="G5" s="20">
        <v>35</v>
      </c>
      <c r="H5" s="7">
        <v>2413822</v>
      </c>
      <c r="I5" s="7">
        <f>H5/1.15</f>
        <v>2098975.6521739131</v>
      </c>
      <c r="J5" s="7">
        <f>(I5-$N$9*G5)/E5</f>
        <v>51714.241637312625</v>
      </c>
      <c r="L5" s="74" t="s">
        <v>26</v>
      </c>
      <c r="M5" s="28" t="s">
        <v>25</v>
      </c>
      <c r="N5" s="75">
        <v>25000</v>
      </c>
      <c r="P5" s="6">
        <f t="shared" si="0"/>
        <v>1</v>
      </c>
      <c r="Q5" s="5">
        <f t="shared" ref="Q5:Q12" si="2">D5</f>
        <v>35.6</v>
      </c>
      <c r="R5" s="5">
        <f t="shared" ref="R5:R12" si="3">E5</f>
        <v>33.82</v>
      </c>
      <c r="S5" s="25">
        <f t="shared" si="1"/>
        <v>2098975.6521739131</v>
      </c>
      <c r="T5" s="12">
        <f t="shared" ref="T5:T13" si="4">J5</f>
        <v>51714.241637312625</v>
      </c>
      <c r="V5" s="6">
        <v>1</v>
      </c>
      <c r="W5" s="17">
        <v>8.17</v>
      </c>
      <c r="X5" s="7">
        <v>234888</v>
      </c>
      <c r="Y5" s="7">
        <f t="shared" ref="Y5:Y10" si="5">X5/1.15</f>
        <v>204250.4347826087</v>
      </c>
      <c r="Z5" s="7">
        <f t="shared" ref="Z5:Z10" si="6">Y5/W5</f>
        <v>25000.053216965571</v>
      </c>
    </row>
    <row r="6" spans="1:26" ht="16.95" customHeight="1" x14ac:dyDescent="0.3">
      <c r="B6" s="11">
        <v>2</v>
      </c>
      <c r="C6" s="11" t="s">
        <v>1</v>
      </c>
      <c r="D6" s="10">
        <v>35.5</v>
      </c>
      <c r="E6" s="5">
        <f t="shared" ref="E6:E12" si="7">D6*0.95</f>
        <v>33.725000000000001</v>
      </c>
      <c r="F6" s="22">
        <v>7</v>
      </c>
      <c r="G6" s="22" t="s">
        <v>33</v>
      </c>
      <c r="H6" s="12">
        <v>1899470</v>
      </c>
      <c r="I6" s="12">
        <f t="shared" ref="I6:I12" si="8">H6/1.15</f>
        <v>1651713.043478261</v>
      </c>
      <c r="J6" s="12">
        <f>(I6-$N$7*F6)/E6</f>
        <v>41711.283720630418</v>
      </c>
      <c r="L6" s="76" t="s">
        <v>20</v>
      </c>
      <c r="M6" s="29" t="s">
        <v>24</v>
      </c>
      <c r="N6" s="77">
        <v>210000</v>
      </c>
      <c r="P6" s="11">
        <f t="shared" si="0"/>
        <v>2</v>
      </c>
      <c r="Q6" s="10">
        <f t="shared" si="2"/>
        <v>35.5</v>
      </c>
      <c r="R6" s="5">
        <f t="shared" si="3"/>
        <v>33.725000000000001</v>
      </c>
      <c r="S6" s="35">
        <f t="shared" si="1"/>
        <v>1651713.043478261</v>
      </c>
      <c r="T6" s="12">
        <f t="shared" si="4"/>
        <v>41711.283720630418</v>
      </c>
      <c r="V6" s="11">
        <v>2</v>
      </c>
      <c r="W6" s="18">
        <v>3.63</v>
      </c>
      <c r="X6" s="12">
        <v>104363</v>
      </c>
      <c r="Y6" s="12">
        <f t="shared" si="5"/>
        <v>90750.434782608703</v>
      </c>
      <c r="Z6" s="12">
        <f t="shared" si="6"/>
        <v>25000.119774823335</v>
      </c>
    </row>
    <row r="7" spans="1:26" ht="16.95" customHeight="1" x14ac:dyDescent="0.3">
      <c r="B7" s="11">
        <v>3</v>
      </c>
      <c r="C7" s="11" t="s">
        <v>1</v>
      </c>
      <c r="D7" s="10">
        <v>42.8</v>
      </c>
      <c r="E7" s="5">
        <f t="shared" si="7"/>
        <v>40.659999999999997</v>
      </c>
      <c r="F7" s="22" t="s">
        <v>33</v>
      </c>
      <c r="G7" s="22">
        <v>31.68</v>
      </c>
      <c r="H7" s="12">
        <v>2272237</v>
      </c>
      <c r="I7" s="12">
        <f t="shared" si="8"/>
        <v>1975858.2608695654</v>
      </c>
      <c r="J7" s="12">
        <f>(I7-$N$9*G7)/E7</f>
        <v>40803.203661327243</v>
      </c>
      <c r="L7" s="78" t="s">
        <v>21</v>
      </c>
      <c r="M7" s="30" t="s">
        <v>25</v>
      </c>
      <c r="N7" s="79">
        <v>35000</v>
      </c>
      <c r="P7" s="11">
        <f t="shared" si="0"/>
        <v>3</v>
      </c>
      <c r="Q7" s="10">
        <f t="shared" si="2"/>
        <v>42.8</v>
      </c>
      <c r="R7" s="5">
        <f t="shared" si="3"/>
        <v>40.659999999999997</v>
      </c>
      <c r="S7" s="35">
        <f t="shared" si="1"/>
        <v>1975858.2608695654</v>
      </c>
      <c r="T7" s="12">
        <f t="shared" si="4"/>
        <v>40803.203661327243</v>
      </c>
      <c r="V7" s="11">
        <v>3</v>
      </c>
      <c r="W7" s="18">
        <v>5.48</v>
      </c>
      <c r="X7" s="12">
        <v>157550</v>
      </c>
      <c r="Y7" s="12">
        <f t="shared" si="5"/>
        <v>137000</v>
      </c>
      <c r="Z7" s="12">
        <f t="shared" si="6"/>
        <v>24999.999999999996</v>
      </c>
    </row>
    <row r="8" spans="1:26" ht="16.95" customHeight="1" x14ac:dyDescent="0.3">
      <c r="B8" s="11">
        <v>4</v>
      </c>
      <c r="C8" s="11" t="s">
        <v>2</v>
      </c>
      <c r="D8" s="10">
        <v>64.7</v>
      </c>
      <c r="E8" s="5">
        <f t="shared" si="7"/>
        <v>61.464999999999996</v>
      </c>
      <c r="F8" s="22">
        <v>23.6</v>
      </c>
      <c r="G8" s="22" t="s">
        <v>33</v>
      </c>
      <c r="H8" s="12">
        <v>3190486</v>
      </c>
      <c r="I8" s="12">
        <f t="shared" si="8"/>
        <v>2774335.6521739131</v>
      </c>
      <c r="J8" s="12">
        <f>(I8-$N$8*F8)/E8</f>
        <v>40657.322359726342</v>
      </c>
      <c r="L8" s="78" t="s">
        <v>22</v>
      </c>
      <c r="M8" s="30" t="s">
        <v>25</v>
      </c>
      <c r="N8" s="79">
        <f>N7/3</f>
        <v>11666.666666666666</v>
      </c>
      <c r="P8" s="11">
        <f t="shared" si="0"/>
        <v>4</v>
      </c>
      <c r="Q8" s="10">
        <f t="shared" si="2"/>
        <v>64.7</v>
      </c>
      <c r="R8" s="5">
        <f t="shared" si="3"/>
        <v>61.464999999999996</v>
      </c>
      <c r="S8" s="35">
        <f t="shared" si="1"/>
        <v>2774335.6521739131</v>
      </c>
      <c r="T8" s="12">
        <f t="shared" si="4"/>
        <v>40657.322359726342</v>
      </c>
      <c r="V8" s="11">
        <v>4</v>
      </c>
      <c r="W8" s="18">
        <v>2.25</v>
      </c>
      <c r="X8" s="12">
        <v>64687</v>
      </c>
      <c r="Y8" s="12">
        <f t="shared" si="5"/>
        <v>56249.565217391311</v>
      </c>
      <c r="Z8" s="12">
        <f t="shared" si="6"/>
        <v>24999.806763285029</v>
      </c>
    </row>
    <row r="9" spans="1:26" ht="16.95" customHeight="1" x14ac:dyDescent="0.3">
      <c r="B9" s="11">
        <v>5</v>
      </c>
      <c r="C9" s="11" t="s">
        <v>2</v>
      </c>
      <c r="D9" s="10">
        <v>50.8</v>
      </c>
      <c r="E9" s="5">
        <f t="shared" si="7"/>
        <v>48.26</v>
      </c>
      <c r="F9" s="22" t="s">
        <v>33</v>
      </c>
      <c r="G9" s="22">
        <v>170.27</v>
      </c>
      <c r="H9" s="12">
        <v>3647855</v>
      </c>
      <c r="I9" s="12">
        <f t="shared" si="8"/>
        <v>3172047.8260869565</v>
      </c>
      <c r="J9" s="12">
        <f>(I9-$N$10*G9)/E9</f>
        <v>48087.397971134618</v>
      </c>
      <c r="L9" s="78" t="s">
        <v>38</v>
      </c>
      <c r="M9" s="30" t="s">
        <v>25</v>
      </c>
      <c r="N9" s="79">
        <v>10000</v>
      </c>
      <c r="P9" s="11">
        <f t="shared" si="0"/>
        <v>5</v>
      </c>
      <c r="Q9" s="10">
        <f t="shared" si="2"/>
        <v>50.8</v>
      </c>
      <c r="R9" s="5">
        <f t="shared" si="3"/>
        <v>48.26</v>
      </c>
      <c r="S9" s="35">
        <f t="shared" si="1"/>
        <v>3172047.8260869565</v>
      </c>
      <c r="T9" s="12">
        <f t="shared" si="4"/>
        <v>48087.397971134618</v>
      </c>
      <c r="V9" s="11">
        <v>5</v>
      </c>
      <c r="W9" s="18">
        <v>2.16</v>
      </c>
      <c r="X9" s="12">
        <v>62100</v>
      </c>
      <c r="Y9" s="12">
        <f t="shared" si="5"/>
        <v>54000.000000000007</v>
      </c>
      <c r="Z9" s="12">
        <f t="shared" si="6"/>
        <v>25000</v>
      </c>
    </row>
    <row r="10" spans="1:26" ht="16.95" customHeight="1" x14ac:dyDescent="0.3">
      <c r="B10" s="11">
        <v>6</v>
      </c>
      <c r="C10" s="11" t="s">
        <v>0</v>
      </c>
      <c r="D10" s="10">
        <v>74.400000000000006</v>
      </c>
      <c r="E10" s="5">
        <f t="shared" si="7"/>
        <v>70.680000000000007</v>
      </c>
      <c r="F10" s="22">
        <v>5.9</v>
      </c>
      <c r="G10" s="22" t="s">
        <v>33</v>
      </c>
      <c r="H10" s="12">
        <v>3800507</v>
      </c>
      <c r="I10" s="12">
        <f t="shared" si="8"/>
        <v>3304788.6956521743</v>
      </c>
      <c r="J10" s="12">
        <f>(I10-$N$7*F10)/E10</f>
        <v>43835.437120149603</v>
      </c>
      <c r="L10" s="78" t="s">
        <v>39</v>
      </c>
      <c r="M10" s="30" t="s">
        <v>25</v>
      </c>
      <c r="N10" s="79">
        <f>N9/2</f>
        <v>5000</v>
      </c>
      <c r="P10" s="11">
        <f t="shared" si="0"/>
        <v>6</v>
      </c>
      <c r="Q10" s="10">
        <f t="shared" si="2"/>
        <v>74.400000000000006</v>
      </c>
      <c r="R10" s="5">
        <f t="shared" si="3"/>
        <v>70.680000000000007</v>
      </c>
      <c r="S10" s="35">
        <f t="shared" si="1"/>
        <v>3304788.6956521743</v>
      </c>
      <c r="T10" s="12">
        <f t="shared" si="4"/>
        <v>43835.437120149603</v>
      </c>
      <c r="V10" s="11">
        <v>6</v>
      </c>
      <c r="W10" s="18">
        <v>2.98</v>
      </c>
      <c r="X10" s="12">
        <v>85675</v>
      </c>
      <c r="Y10" s="12">
        <f t="shared" si="5"/>
        <v>74500</v>
      </c>
      <c r="Z10" s="12">
        <f t="shared" si="6"/>
        <v>25000</v>
      </c>
    </row>
    <row r="11" spans="1:26" ht="16.95" customHeight="1" x14ac:dyDescent="0.3">
      <c r="B11" s="11">
        <v>7</v>
      </c>
      <c r="C11" s="11" t="s">
        <v>0</v>
      </c>
      <c r="D11" s="10">
        <v>90</v>
      </c>
      <c r="E11" s="5">
        <f t="shared" si="7"/>
        <v>85.5</v>
      </c>
      <c r="F11" s="22" t="s">
        <v>33</v>
      </c>
      <c r="G11" s="22">
        <v>61.5</v>
      </c>
      <c r="H11" s="12">
        <v>5424980</v>
      </c>
      <c r="I11" s="12">
        <f t="shared" si="8"/>
        <v>4717373.9130434785</v>
      </c>
      <c r="J11" s="12">
        <f>(I11-$N$9*G11)/E11</f>
        <v>47980.981439105009</v>
      </c>
      <c r="L11" s="24"/>
      <c r="M11" s="24"/>
      <c r="N11" s="8"/>
      <c r="P11" s="11">
        <f t="shared" si="0"/>
        <v>7</v>
      </c>
      <c r="Q11" s="10">
        <f t="shared" si="2"/>
        <v>90</v>
      </c>
      <c r="R11" s="5">
        <f t="shared" si="3"/>
        <v>85.5</v>
      </c>
      <c r="S11" s="35">
        <f t="shared" si="1"/>
        <v>4717373.9130434785</v>
      </c>
      <c r="T11" s="12">
        <f t="shared" si="4"/>
        <v>47980.981439105009</v>
      </c>
    </row>
    <row r="12" spans="1:26" ht="16.95" customHeight="1" thickBot="1" x14ac:dyDescent="0.35">
      <c r="B12" s="14">
        <v>8</v>
      </c>
      <c r="C12" s="14" t="s">
        <v>0</v>
      </c>
      <c r="D12" s="13">
        <v>85.6</v>
      </c>
      <c r="E12" s="5">
        <f t="shared" si="7"/>
        <v>81.319999999999993</v>
      </c>
      <c r="F12" s="23">
        <v>4.99</v>
      </c>
      <c r="G12" s="23" t="s">
        <v>33</v>
      </c>
      <c r="H12" s="15">
        <v>4456893</v>
      </c>
      <c r="I12" s="15">
        <f t="shared" si="8"/>
        <v>3875559.1304347827</v>
      </c>
      <c r="J12" s="15">
        <f>(I12-$N$7*F12)/E12</f>
        <v>45510.441840073574</v>
      </c>
      <c r="L12" s="24"/>
      <c r="M12" s="24"/>
      <c r="N12" s="8"/>
      <c r="P12" s="14">
        <f t="shared" si="0"/>
        <v>8</v>
      </c>
      <c r="Q12" s="13">
        <f t="shared" si="2"/>
        <v>85.6</v>
      </c>
      <c r="R12" s="5">
        <f t="shared" si="3"/>
        <v>81.319999999999993</v>
      </c>
      <c r="S12" s="26">
        <f t="shared" si="1"/>
        <v>3875559.1304347827</v>
      </c>
      <c r="T12" s="15">
        <f t="shared" si="4"/>
        <v>45510.441840073574</v>
      </c>
    </row>
    <row r="13" spans="1:26" ht="16.95" customHeight="1" thickTop="1" x14ac:dyDescent="0.3">
      <c r="B13" s="189"/>
      <c r="C13" s="190"/>
      <c r="D13" s="190"/>
      <c r="E13" s="190"/>
      <c r="F13" s="190"/>
      <c r="G13" s="181" t="s">
        <v>15</v>
      </c>
      <c r="H13" s="181"/>
      <c r="I13" s="181"/>
      <c r="J13" s="82">
        <f>AVERAGE(J5:J12)</f>
        <v>45037.53871868243</v>
      </c>
      <c r="P13" s="284"/>
      <c r="Q13" s="285"/>
      <c r="R13" s="286"/>
      <c r="S13" s="86" t="s">
        <v>42</v>
      </c>
      <c r="T13" s="82">
        <f t="shared" si="4"/>
        <v>45037.53871868243</v>
      </c>
    </row>
    <row r="17" spans="2:2" x14ac:dyDescent="0.3">
      <c r="B17" s="21"/>
    </row>
    <row r="18" spans="2:2" x14ac:dyDescent="0.3">
      <c r="B18" s="4"/>
    </row>
    <row r="19" spans="2:2" x14ac:dyDescent="0.3">
      <c r="B19" s="4"/>
    </row>
    <row r="20" spans="2:2" x14ac:dyDescent="0.3">
      <c r="B20" s="4"/>
    </row>
    <row r="21" spans="2:2" x14ac:dyDescent="0.3">
      <c r="B21" s="4"/>
    </row>
    <row r="22" spans="2:2" x14ac:dyDescent="0.3">
      <c r="B22" s="4"/>
    </row>
    <row r="23" spans="2:2" x14ac:dyDescent="0.3">
      <c r="B23" s="4"/>
    </row>
    <row r="24" spans="2:2" x14ac:dyDescent="0.3">
      <c r="B24" s="4"/>
    </row>
  </sheetData>
  <mergeCells count="1">
    <mergeCell ref="P13:R13"/>
  </mergeCells>
  <pageMargins left="0.7" right="0.7" top="0.78740157499999996" bottom="0.78740157499999996" header="0.3" footer="0.3"/>
  <ignoredErrors>
    <ignoredError sqref="J6 J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</vt:i4>
      </vt:variant>
    </vt:vector>
  </HeadingPairs>
  <TitlesOfParts>
    <vt:vector size="10" baseType="lpstr">
      <vt:lpstr>Harmonogram</vt:lpstr>
      <vt:lpstr>Scénář prodeje</vt:lpstr>
      <vt:lpstr>Cashflow</vt:lpstr>
      <vt:lpstr>Pesimistický scénář prodeje</vt:lpstr>
      <vt:lpstr>Propočet</vt:lpstr>
      <vt:lpstr>Bytový dům B</vt:lpstr>
      <vt:lpstr>Analýza okolí a konk. projektů</vt:lpstr>
      <vt:lpstr>Projekt Vivus Uhříněves II.</vt:lpstr>
      <vt:lpstr>Projekt Nad Volyňkou</vt:lpstr>
      <vt:lpstr>Projekt U Starého mlýna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Trpálek</dc:creator>
  <cp:lastModifiedBy>Daniel Trpálek</cp:lastModifiedBy>
  <dcterms:created xsi:type="dcterms:W3CDTF">2017-04-17T09:24:59Z</dcterms:created>
  <dcterms:modified xsi:type="dcterms:W3CDTF">2017-05-27T21:56:45Z</dcterms:modified>
</cp:coreProperties>
</file>