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7c1d6e0467ba531/Desktop/Prilohy/Výpočtová tabulka výfuků/"/>
    </mc:Choice>
  </mc:AlternateContent>
  <xr:revisionPtr revIDLastSave="53" documentId="102_{182D4FC4-4699-4111-8FCC-0E63F5247D90}" xr6:coauthVersionLast="36" xr6:coauthVersionMax="36" xr10:uidLastSave="{61AE187D-6F79-4B67-95EE-76AD9BEBE238}"/>
  <bookViews>
    <workbookView xWindow="0" yWindow="0" windowWidth="17256" windowHeight="5640" xr2:uid="{DB6EC466-5075-4F7D-9A74-DF08AD31ECFA}"/>
  </bookViews>
  <sheets>
    <sheet name="Jennings" sheetId="1" r:id="rId1"/>
    <sheet name="Blair" sheetId="2" r:id="rId2"/>
    <sheet name="Bell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3" i="3" l="1"/>
  <c r="C12" i="3" l="1"/>
  <c r="D10" i="2" l="1"/>
  <c r="D18" i="2" s="1"/>
  <c r="D14" i="2"/>
  <c r="C15" i="3"/>
  <c r="D17" i="2" l="1"/>
  <c r="C11" i="3" l="1"/>
  <c r="G8" i="3"/>
  <c r="H8" i="3" s="1"/>
  <c r="C17" i="3" s="1"/>
  <c r="G7" i="3"/>
  <c r="H7" i="3" s="1"/>
  <c r="G6" i="3"/>
  <c r="H6" i="3" l="1"/>
  <c r="C14" i="3" s="1"/>
  <c r="C16" i="3" s="1"/>
  <c r="C21" i="3"/>
  <c r="D20" i="2"/>
  <c r="D11" i="2"/>
  <c r="D9" i="2" s="1"/>
  <c r="D16" i="2"/>
  <c r="B18" i="1"/>
  <c r="B17" i="1"/>
  <c r="B13" i="1"/>
  <c r="B10" i="1"/>
  <c r="B16" i="1" s="1"/>
  <c r="B9" i="1"/>
  <c r="F8" i="1"/>
  <c r="F7" i="1"/>
  <c r="C18" i="3" l="1"/>
  <c r="D21" i="2"/>
  <c r="D22" i="2"/>
  <c r="B12" i="1"/>
  <c r="B11" i="1" s="1"/>
  <c r="B14" i="1"/>
  <c r="D13" i="2" l="1"/>
  <c r="B15" i="1"/>
  <c r="D27" i="2" l="1"/>
  <c r="D25" i="2"/>
  <c r="D29" i="2"/>
  <c r="D30" i="2" s="1"/>
  <c r="D28" i="2"/>
  <c r="D26" i="2"/>
  <c r="D23" i="2" l="1"/>
</calcChain>
</file>

<file path=xl/sharedStrings.xml><?xml version="1.0" encoding="utf-8"?>
<sst xmlns="http://schemas.openxmlformats.org/spreadsheetml/2006/main" count="126" uniqueCount="76">
  <si>
    <t>Výfuk Jennings</t>
  </si>
  <si>
    <t>Bell</t>
  </si>
  <si>
    <t>Blair</t>
  </si>
  <si>
    <t>Rychlost vlny</t>
  </si>
  <si>
    <t>ft/sec</t>
  </si>
  <si>
    <t>°</t>
  </si>
  <si>
    <t>Časování kanál</t>
  </si>
  <si>
    <t>požadované otáčky</t>
  </si>
  <si>
    <t>n/min</t>
  </si>
  <si>
    <t>mm</t>
  </si>
  <si>
    <t>Tk</t>
  </si>
  <si>
    <t>(1,15-1,5)</t>
  </si>
  <si>
    <t>kw</t>
  </si>
  <si>
    <t>(3-3,5)</t>
  </si>
  <si>
    <t>(8,5-9,5)</t>
  </si>
  <si>
    <t>(6-11) x průměr</t>
  </si>
  <si>
    <t>cca 12 x výletovka</t>
  </si>
  <si>
    <t>Dvousekce</t>
  </si>
  <si>
    <t>(17-19)mm</t>
  </si>
  <si>
    <t>(0,57-0,62) x koleno</t>
  </si>
  <si>
    <t>a0</t>
  </si>
  <si>
    <t>m/s</t>
  </si>
  <si>
    <t>(205-230)mm</t>
  </si>
  <si>
    <t>bar</t>
  </si>
  <si>
    <t>K</t>
  </si>
  <si>
    <t>D1</t>
  </si>
  <si>
    <t>K0</t>
  </si>
  <si>
    <t>K1</t>
  </si>
  <si>
    <t>K2</t>
  </si>
  <si>
    <t>-</t>
  </si>
  <si>
    <t>ot/min</t>
  </si>
  <si>
    <t>ccm</t>
  </si>
  <si>
    <t>L7j</t>
  </si>
  <si>
    <t>L6j</t>
  </si>
  <si>
    <t>L1B</t>
  </si>
  <si>
    <t>D2B</t>
  </si>
  <si>
    <t>D3B</t>
  </si>
  <si>
    <t>L1j</t>
  </si>
  <si>
    <t>L2j</t>
  </si>
  <si>
    <t>L3j</t>
  </si>
  <si>
    <t>L4j</t>
  </si>
  <si>
    <t>L5j</t>
  </si>
  <si>
    <t xml:space="preserve">D3j </t>
  </si>
  <si>
    <t>L2B</t>
  </si>
  <si>
    <t>L3B</t>
  </si>
  <si>
    <t>L6B</t>
  </si>
  <si>
    <t>D4B</t>
  </si>
  <si>
    <t>L4B</t>
  </si>
  <si>
    <t>L5B</t>
  </si>
  <si>
    <t>D1B</t>
  </si>
  <si>
    <t>LBl01</t>
  </si>
  <si>
    <t>LBl02</t>
  </si>
  <si>
    <t>LBl03</t>
  </si>
  <si>
    <t>LBl04</t>
  </si>
  <si>
    <t>LBl05</t>
  </si>
  <si>
    <t>LBl06</t>
  </si>
  <si>
    <t>D2Bl</t>
  </si>
  <si>
    <t>D4Bl</t>
  </si>
  <si>
    <t>D3Bl</t>
  </si>
  <si>
    <t>pBME</t>
  </si>
  <si>
    <t>LtBl</t>
  </si>
  <si>
    <t>dEXD</t>
  </si>
  <si>
    <t>D2j</t>
  </si>
  <si>
    <t>Ltj</t>
  </si>
  <si>
    <t>np</t>
  </si>
  <si>
    <t>Eo</t>
  </si>
  <si>
    <t>V</t>
  </si>
  <si>
    <t>Ppr</t>
  </si>
  <si>
    <t>LtB</t>
  </si>
  <si>
    <t>KBL1</t>
  </si>
  <si>
    <t>αB</t>
  </si>
  <si>
    <t>βB</t>
  </si>
  <si>
    <t>γB</t>
  </si>
  <si>
    <t>délka kanálu + zahlá část kolene</t>
  </si>
  <si>
    <t xml:space="preserve">αj </t>
  </si>
  <si>
    <t>βj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</si>
</sst>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9" formatCode="0.000"/>
  </numFmts>
  <fonts count="8" x14ac:knownFonts="1"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8"/>
      <color theme="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10"/>
      <color rgb="FF006100"/>
      <name val="Arial"/>
      <family val="2"/>
      <charset val="238"/>
    </font>
    <font>
      <sz val="20"/>
      <color theme="0"/>
      <name val="Arial"/>
      <family val="2"/>
      <charset val="238"/>
    </font>
    <font>
      <b/>
      <sz val="10"/>
      <color theme="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2" borderId="0" applyNumberFormat="0" applyBorder="0" applyAlignment="0" applyProtection="0"/>
    <xf numFmtId="0" fontId="1" fillId="3" borderId="0" applyNumberFormat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0" fillId="5" borderId="0" xfId="0" applyFill="1"/>
    <xf numFmtId="0" fontId="4" fillId="4" borderId="0" xfId="0" applyFont="1" applyFill="1"/>
    <xf numFmtId="164" fontId="0" fillId="0" borderId="0" xfId="0" applyNumberFormat="1"/>
    <xf numFmtId="0" fontId="0" fillId="0" borderId="0" xfId="0" applyAlignment="1"/>
    <xf numFmtId="0" fontId="0" fillId="0" borderId="6" xfId="0" applyFill="1" applyBorder="1"/>
    <xf numFmtId="0" fontId="0" fillId="0" borderId="0" xfId="0" applyFill="1"/>
    <xf numFmtId="164" fontId="0" fillId="0" borderId="6" xfId="0" applyNumberFormat="1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0" fillId="5" borderId="8" xfId="0" applyFill="1" applyBorder="1"/>
    <xf numFmtId="0" fontId="4" fillId="0" borderId="8" xfId="0" applyFont="1" applyFill="1" applyBorder="1"/>
    <xf numFmtId="0" fontId="3" fillId="0" borderId="6" xfId="0" applyFont="1" applyBorder="1"/>
    <xf numFmtId="0" fontId="0" fillId="0" borderId="0" xfId="0"/>
    <xf numFmtId="2" fontId="4" fillId="4" borderId="8" xfId="0" applyNumberFormat="1" applyFont="1" applyFill="1" applyBorder="1"/>
    <xf numFmtId="164" fontId="4" fillId="4" borderId="8" xfId="0" applyNumberFormat="1" applyFont="1" applyFill="1" applyBorder="1"/>
    <xf numFmtId="1" fontId="0" fillId="5" borderId="8" xfId="0" applyNumberFormat="1" applyFill="1" applyBorder="1"/>
    <xf numFmtId="0" fontId="0" fillId="0" borderId="0" xfId="0"/>
    <xf numFmtId="0" fontId="0" fillId="0" borderId="0" xfId="0"/>
    <xf numFmtId="1" fontId="4" fillId="4" borderId="0" xfId="0" applyNumberFormat="1" applyFont="1" applyFill="1"/>
    <xf numFmtId="0" fontId="7" fillId="0" borderId="0" xfId="0" applyFont="1"/>
    <xf numFmtId="0" fontId="0" fillId="0" borderId="0" xfId="0"/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0" borderId="0" xfId="0"/>
    <xf numFmtId="0" fontId="6" fillId="4" borderId="0" xfId="0" applyFont="1" applyFill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69" fontId="4" fillId="4" borderId="8" xfId="0" applyNumberFormat="1" applyFont="1" applyFill="1" applyBorder="1"/>
    <xf numFmtId="1" fontId="4" fillId="4" borderId="8" xfId="0" applyNumberFormat="1" applyFont="1" applyFill="1" applyBorder="1"/>
    <xf numFmtId="1" fontId="4" fillId="4" borderId="0" xfId="2" applyNumberFormat="1" applyFont="1" applyFill="1"/>
    <xf numFmtId="1" fontId="4" fillId="4" borderId="0" xfId="1" applyNumberFormat="1" applyFont="1" applyFill="1"/>
    <xf numFmtId="1" fontId="0" fillId="5" borderId="0" xfId="0" applyNumberFormat="1" applyFill="1"/>
  </cellXfs>
  <cellStyles count="3">
    <cellStyle name="40 % – Zvýraznění 4" xfId="2" builtinId="43"/>
    <cellStyle name="Normální" xfId="0" builtinId="0"/>
    <cellStyle name="Správně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54429</xdr:colOff>
      <xdr:row>18</xdr:row>
      <xdr:rowOff>54428</xdr:rowOff>
    </xdr:from>
    <xdr:to>
      <xdr:col>4</xdr:col>
      <xdr:colOff>1260566</xdr:colOff>
      <xdr:row>29</xdr:row>
      <xdr:rowOff>36921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EF5A56E-25BD-43B1-96E4-CA74938F721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429" y="3004457"/>
          <a:ext cx="5059680" cy="17786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206188</xdr:colOff>
      <xdr:row>31</xdr:row>
      <xdr:rowOff>26894</xdr:rowOff>
    </xdr:from>
    <xdr:to>
      <xdr:col>9</xdr:col>
      <xdr:colOff>220532</xdr:colOff>
      <xdr:row>42</xdr:row>
      <xdr:rowOff>69066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8CCBC1EF-D362-48EC-A486-78ABFC57AA8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788" y="5307106"/>
          <a:ext cx="5760720" cy="19157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381000</xdr:colOff>
      <xdr:row>23</xdr:row>
      <xdr:rowOff>119743</xdr:rowOff>
    </xdr:from>
    <xdr:to>
      <xdr:col>5</xdr:col>
      <xdr:colOff>600891</xdr:colOff>
      <xdr:row>33</xdr:row>
      <xdr:rowOff>40731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45C3DC96-2704-4A20-A69B-FEC0230AD11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3712029"/>
          <a:ext cx="5760720" cy="15538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976DE-A0C5-4FCC-8839-126E698A35A2}">
  <dimension ref="A1:X19"/>
  <sheetViews>
    <sheetView tabSelected="1" zoomScale="70" zoomScaleNormal="70" workbookViewId="0">
      <selection activeCell="H10" sqref="H10"/>
    </sheetView>
  </sheetViews>
  <sheetFormatPr defaultRowHeight="13.2" x14ac:dyDescent="0.25"/>
  <cols>
    <col min="1" max="1" width="20.109375" bestFit="1" customWidth="1"/>
    <col min="2" max="2" width="7.5546875" bestFit="1" customWidth="1"/>
    <col min="3" max="3" width="5.5546875" bestFit="1" customWidth="1"/>
    <col min="4" max="4" width="22.88671875" bestFit="1" customWidth="1"/>
    <col min="5" max="5" width="26.109375" bestFit="1" customWidth="1"/>
    <col min="6" max="6" width="0" hidden="1" customWidth="1"/>
    <col min="8" max="8" width="14" bestFit="1" customWidth="1"/>
    <col min="9" max="9" width="16.44140625" bestFit="1" customWidth="1"/>
    <col min="20" max="20" width="21.5546875" bestFit="1" customWidth="1"/>
    <col min="21" max="21" width="16.44140625" bestFit="1" customWidth="1"/>
    <col min="23" max="23" width="15.5546875" bestFit="1" customWidth="1"/>
  </cols>
  <sheetData>
    <row r="1" spans="1:24" x14ac:dyDescent="0.25">
      <c r="A1" s="23" t="s">
        <v>0</v>
      </c>
      <c r="B1" s="24"/>
      <c r="C1" s="24"/>
      <c r="D1" s="24"/>
      <c r="E1" s="24"/>
      <c r="T1" s="27"/>
      <c r="U1" s="27"/>
      <c r="V1" s="27"/>
      <c r="W1" s="27"/>
      <c r="X1" s="27"/>
    </row>
    <row r="2" spans="1:24" ht="13.8" thickBot="1" x14ac:dyDescent="0.3">
      <c r="A2" s="25"/>
      <c r="B2" s="26"/>
      <c r="C2" s="26"/>
      <c r="D2" s="26"/>
      <c r="E2" s="26"/>
      <c r="H2" s="27"/>
      <c r="I2" s="27"/>
      <c r="J2" s="27"/>
      <c r="K2" s="27"/>
      <c r="L2" s="27"/>
      <c r="T2" s="27"/>
      <c r="U2" s="27"/>
      <c r="V2" s="27"/>
      <c r="W2" s="27"/>
      <c r="X2" s="27"/>
    </row>
    <row r="3" spans="1:24" x14ac:dyDescent="0.25">
      <c r="A3" s="1" t="s">
        <v>3</v>
      </c>
      <c r="B3" s="2">
        <v>1700</v>
      </c>
      <c r="C3" t="s">
        <v>4</v>
      </c>
      <c r="H3" s="27"/>
      <c r="I3" s="27"/>
      <c r="J3" s="27"/>
      <c r="K3" s="27"/>
      <c r="L3" s="27"/>
    </row>
    <row r="4" spans="1:24" x14ac:dyDescent="0.25">
      <c r="A4" s="1" t="s">
        <v>6</v>
      </c>
      <c r="B4" s="2">
        <v>172</v>
      </c>
      <c r="C4" t="s">
        <v>5</v>
      </c>
    </row>
    <row r="5" spans="1:24" x14ac:dyDescent="0.25">
      <c r="A5" s="1" t="s">
        <v>7</v>
      </c>
      <c r="B5" s="2">
        <v>9000</v>
      </c>
      <c r="C5" t="s">
        <v>8</v>
      </c>
    </row>
    <row r="6" spans="1:24" x14ac:dyDescent="0.25">
      <c r="A6" s="1" t="s">
        <v>25</v>
      </c>
      <c r="B6" s="2">
        <v>29</v>
      </c>
      <c r="C6" t="s">
        <v>9</v>
      </c>
    </row>
    <row r="7" spans="1:24" x14ac:dyDescent="0.25">
      <c r="A7" s="1" t="s">
        <v>74</v>
      </c>
      <c r="B7" s="2">
        <v>8</v>
      </c>
      <c r="C7" t="s">
        <v>5</v>
      </c>
      <c r="F7" s="3">
        <f>B7/2/180*PI()</f>
        <v>6.9813170079773182E-2</v>
      </c>
    </row>
    <row r="8" spans="1:24" x14ac:dyDescent="0.25">
      <c r="A8" s="1" t="s">
        <v>75</v>
      </c>
      <c r="B8" s="2">
        <v>16</v>
      </c>
      <c r="C8" t="s">
        <v>5</v>
      </c>
      <c r="F8" s="3">
        <f>B8/2/180*PI()</f>
        <v>0.13962634015954636</v>
      </c>
    </row>
    <row r="9" spans="1:24" x14ac:dyDescent="0.25">
      <c r="A9" s="1" t="s">
        <v>63</v>
      </c>
      <c r="B9" s="35">
        <f>B4*B3/B5*25.4</f>
        <v>825.21777777777766</v>
      </c>
      <c r="C9" t="s">
        <v>9</v>
      </c>
    </row>
    <row r="10" spans="1:24" x14ac:dyDescent="0.25">
      <c r="A10" s="1" t="s">
        <v>62</v>
      </c>
      <c r="B10" s="20">
        <f>SQRT((B6^2)*6.25)</f>
        <v>72.5</v>
      </c>
      <c r="C10" t="s">
        <v>9</v>
      </c>
    </row>
    <row r="11" spans="1:24" x14ac:dyDescent="0.25">
      <c r="A11" s="1" t="s">
        <v>32</v>
      </c>
      <c r="B11" s="20">
        <f>B9-(B12/2)</f>
        <v>696.25170155956391</v>
      </c>
      <c r="C11" t="s">
        <v>9</v>
      </c>
    </row>
    <row r="12" spans="1:24" x14ac:dyDescent="0.25">
      <c r="A12" s="1" t="s">
        <v>33</v>
      </c>
      <c r="B12" s="20">
        <f>(B10/2)*_xlfn.COT(F8)</f>
        <v>257.93215243642754</v>
      </c>
      <c r="C12" t="s">
        <v>9</v>
      </c>
    </row>
    <row r="13" spans="1:24" x14ac:dyDescent="0.25">
      <c r="A13" s="1" t="s">
        <v>37</v>
      </c>
      <c r="B13" s="20">
        <f>B6*8.5</f>
        <v>246.5</v>
      </c>
      <c r="C13" t="s">
        <v>9</v>
      </c>
      <c r="D13" t="s">
        <v>15</v>
      </c>
      <c r="E13" s="4"/>
    </row>
    <row r="14" spans="1:24" x14ac:dyDescent="0.25">
      <c r="A14" s="1" t="s">
        <v>38</v>
      </c>
      <c r="B14" s="20">
        <f>((B10-B6)/2)*((TAN(F7))^-1)</f>
        <v>311.03949108348445</v>
      </c>
      <c r="C14" t="s">
        <v>9</v>
      </c>
      <c r="E14" s="4"/>
    </row>
    <row r="15" spans="1:24" x14ac:dyDescent="0.25">
      <c r="A15" s="1" t="s">
        <v>39</v>
      </c>
      <c r="B15" s="20">
        <f>B11-B13-B14</f>
        <v>138.71221047607946</v>
      </c>
      <c r="C15" t="s">
        <v>9</v>
      </c>
      <c r="E15" s="4"/>
    </row>
    <row r="16" spans="1:24" x14ac:dyDescent="0.25">
      <c r="A16" s="1" t="s">
        <v>40</v>
      </c>
      <c r="B16" s="20">
        <f>(B10-B18)/2*_xlfn.COT(F8)</f>
        <v>193.96497863219352</v>
      </c>
      <c r="C16" t="s">
        <v>9</v>
      </c>
      <c r="E16" s="4"/>
    </row>
    <row r="17" spans="1:15" x14ac:dyDescent="0.25">
      <c r="A17" s="1" t="s">
        <v>41</v>
      </c>
      <c r="B17" s="20">
        <f>12*B18</f>
        <v>215.76</v>
      </c>
      <c r="C17" t="s">
        <v>9</v>
      </c>
      <c r="D17" t="s">
        <v>16</v>
      </c>
      <c r="E17" s="4"/>
      <c r="H17" s="27"/>
      <c r="I17" s="27"/>
      <c r="N17" s="27"/>
      <c r="O17" s="27"/>
    </row>
    <row r="18" spans="1:15" x14ac:dyDescent="0.25">
      <c r="A18" s="1" t="s">
        <v>42</v>
      </c>
      <c r="B18" s="36">
        <f>0.62*B6</f>
        <v>17.98</v>
      </c>
      <c r="C18" t="s">
        <v>9</v>
      </c>
      <c r="D18" t="s">
        <v>19</v>
      </c>
    </row>
    <row r="19" spans="1:15" x14ac:dyDescent="0.25">
      <c r="A19" s="18"/>
      <c r="B19" s="18"/>
      <c r="C19" s="18"/>
    </row>
  </sheetData>
  <mergeCells count="5">
    <mergeCell ref="A1:E2"/>
    <mergeCell ref="T1:X2"/>
    <mergeCell ref="H2:L3"/>
    <mergeCell ref="H17:I17"/>
    <mergeCell ref="N17:O17"/>
  </mergeCells>
  <pageMargins left="0.7" right="0.7" top="0.78740157499999996" bottom="0.78740157499999996" header="0.3" footer="0.3"/>
  <pageSetup paperSize="9" orientation="portrait" horizontalDpi="30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01518-733D-4746-A76A-61664671311A}">
  <dimension ref="C2:L34"/>
  <sheetViews>
    <sheetView zoomScale="85" zoomScaleNormal="85" workbookViewId="0">
      <selection activeCell="I2" sqref="I2"/>
    </sheetView>
  </sheetViews>
  <sheetFormatPr defaultRowHeight="13.2" x14ac:dyDescent="0.25"/>
  <cols>
    <col min="3" max="3" width="14" bestFit="1" customWidth="1"/>
    <col min="4" max="4" width="16.44140625" bestFit="1" customWidth="1"/>
  </cols>
  <sheetData>
    <row r="2" spans="3:12" x14ac:dyDescent="0.25">
      <c r="C2" s="28" t="s">
        <v>2</v>
      </c>
      <c r="D2" s="28"/>
      <c r="E2" s="28"/>
      <c r="F2" s="28"/>
      <c r="G2" s="28"/>
    </row>
    <row r="3" spans="3:12" x14ac:dyDescent="0.25">
      <c r="C3" s="29"/>
      <c r="D3" s="29"/>
      <c r="E3" s="29"/>
      <c r="F3" s="29"/>
      <c r="G3" s="29"/>
    </row>
    <row r="4" spans="3:12" x14ac:dyDescent="0.25">
      <c r="C4" s="13" t="s">
        <v>67</v>
      </c>
      <c r="D4" s="17">
        <v>6</v>
      </c>
      <c r="E4" s="6" t="s">
        <v>12</v>
      </c>
      <c r="F4" s="6"/>
      <c r="G4" s="6"/>
      <c r="H4" s="7"/>
      <c r="I4" s="7"/>
      <c r="J4" s="7"/>
      <c r="K4" s="7"/>
      <c r="L4" s="7"/>
    </row>
    <row r="5" spans="3:12" x14ac:dyDescent="0.25">
      <c r="C5" s="13" t="s">
        <v>66</v>
      </c>
      <c r="D5" s="11">
        <v>50</v>
      </c>
      <c r="E5" s="6" t="s">
        <v>31</v>
      </c>
      <c r="F5" s="6"/>
      <c r="G5" s="6"/>
      <c r="H5" s="7"/>
      <c r="I5" s="14"/>
      <c r="J5" s="14"/>
      <c r="K5" s="14"/>
      <c r="L5" s="7"/>
    </row>
    <row r="6" spans="3:12" x14ac:dyDescent="0.25">
      <c r="C6" s="13" t="s">
        <v>64</v>
      </c>
      <c r="D6" s="11">
        <v>9000</v>
      </c>
      <c r="E6" s="6" t="s">
        <v>30</v>
      </c>
      <c r="F6" s="6"/>
      <c r="G6" s="6"/>
      <c r="H6" s="7"/>
      <c r="I6" s="14"/>
      <c r="J6" s="14"/>
      <c r="K6" s="14"/>
      <c r="L6" s="7"/>
    </row>
    <row r="7" spans="3:12" x14ac:dyDescent="0.25">
      <c r="C7" s="13" t="s">
        <v>65</v>
      </c>
      <c r="D7" s="11">
        <v>172</v>
      </c>
      <c r="E7" s="6" t="s">
        <v>5</v>
      </c>
      <c r="F7" s="6"/>
      <c r="G7" s="6"/>
      <c r="H7" s="7"/>
      <c r="I7" s="14"/>
      <c r="J7" s="14"/>
      <c r="K7" s="14"/>
      <c r="L7" s="7"/>
    </row>
    <row r="8" spans="3:12" x14ac:dyDescent="0.25">
      <c r="C8" s="30" t="s">
        <v>17</v>
      </c>
      <c r="D8" s="31"/>
      <c r="E8" s="31"/>
      <c r="F8" s="31"/>
      <c r="G8" s="32"/>
      <c r="H8" s="7"/>
      <c r="I8" s="5"/>
      <c r="J8" s="5"/>
      <c r="K8" s="5"/>
      <c r="L8" s="7"/>
    </row>
    <row r="9" spans="3:12" x14ac:dyDescent="0.25">
      <c r="C9" s="13" t="s">
        <v>20</v>
      </c>
      <c r="D9" s="15">
        <f>SQRT(401.8*D11)</f>
        <v>562.73121204951292</v>
      </c>
      <c r="E9" s="6" t="s">
        <v>21</v>
      </c>
      <c r="F9" s="6"/>
      <c r="G9" s="6"/>
      <c r="H9" s="7"/>
      <c r="I9" s="14"/>
      <c r="J9" s="14"/>
      <c r="K9" s="14"/>
      <c r="L9" s="7"/>
    </row>
    <row r="10" spans="3:12" x14ac:dyDescent="0.25">
      <c r="C10" s="13" t="s">
        <v>59</v>
      </c>
      <c r="D10" s="16">
        <f>600000*D4/D5/D6</f>
        <v>8</v>
      </c>
      <c r="E10" s="6" t="s">
        <v>23</v>
      </c>
      <c r="F10" s="6"/>
      <c r="G10" s="6"/>
      <c r="H10" s="7"/>
      <c r="I10" s="14"/>
      <c r="J10" s="14"/>
      <c r="K10" s="14"/>
      <c r="L10" s="7"/>
    </row>
    <row r="11" spans="3:12" x14ac:dyDescent="0.25">
      <c r="C11" s="13" t="s">
        <v>10</v>
      </c>
      <c r="D11" s="15">
        <f>534.67*EXP(0.0485*D10)</f>
        <v>788.11950476534059</v>
      </c>
      <c r="E11" s="6" t="s">
        <v>24</v>
      </c>
      <c r="F11" s="6"/>
      <c r="G11" s="6"/>
      <c r="H11" s="7"/>
      <c r="I11" s="14"/>
      <c r="J11" s="14"/>
      <c r="K11" s="14"/>
      <c r="L11" s="7"/>
    </row>
    <row r="12" spans="3:12" x14ac:dyDescent="0.25">
      <c r="C12" s="13"/>
      <c r="D12" s="12"/>
      <c r="E12" s="6"/>
      <c r="F12" s="6"/>
      <c r="G12" s="6"/>
      <c r="H12" s="7"/>
      <c r="I12" s="14"/>
      <c r="J12" s="14"/>
      <c r="K12" s="14"/>
      <c r="L12" s="7"/>
    </row>
    <row r="13" spans="3:12" x14ac:dyDescent="0.25">
      <c r="C13" s="13" t="s">
        <v>60</v>
      </c>
      <c r="D13" s="15">
        <f>1000*D9*D7/12/D6</f>
        <v>896.2015599307058</v>
      </c>
      <c r="E13" s="6" t="s">
        <v>9</v>
      </c>
      <c r="F13" s="6"/>
      <c r="G13" s="6"/>
      <c r="H13" s="7"/>
      <c r="I13" s="14"/>
      <c r="J13" s="14"/>
      <c r="K13" s="14"/>
      <c r="L13" s="7"/>
    </row>
    <row r="14" spans="3:12" x14ac:dyDescent="0.25">
      <c r="C14" s="13" t="s">
        <v>61</v>
      </c>
      <c r="D14" s="15">
        <f>SQRT(4*418.2/PI())</f>
        <v>23.075284995168424</v>
      </c>
      <c r="E14" s="6" t="s">
        <v>9</v>
      </c>
      <c r="F14" s="6"/>
      <c r="G14" s="6"/>
      <c r="H14" s="7"/>
      <c r="I14" s="14"/>
      <c r="J14" s="14"/>
      <c r="K14" s="14"/>
      <c r="L14" s="7"/>
    </row>
    <row r="15" spans="3:12" x14ac:dyDescent="0.25">
      <c r="C15" s="13"/>
      <c r="D15" s="12"/>
      <c r="E15" s="6"/>
      <c r="F15" s="6"/>
      <c r="G15" s="6"/>
      <c r="H15" s="7"/>
      <c r="I15" s="14"/>
      <c r="J15" s="14"/>
      <c r="K15" s="14"/>
      <c r="L15" s="7"/>
    </row>
    <row r="16" spans="3:12" x14ac:dyDescent="0.25">
      <c r="C16" s="13" t="s">
        <v>26</v>
      </c>
      <c r="D16" s="33">
        <f>1.0322*EXP(-0.0498*$D$10)</f>
        <v>0.69301228459051467</v>
      </c>
      <c r="E16" s="6" t="s">
        <v>29</v>
      </c>
      <c r="F16" s="6"/>
      <c r="G16" s="6"/>
      <c r="H16" s="7"/>
      <c r="I16" s="14"/>
      <c r="J16" s="14"/>
      <c r="K16" s="14"/>
      <c r="L16" s="7"/>
    </row>
    <row r="17" spans="3:12" x14ac:dyDescent="0.25">
      <c r="C17" s="13" t="s">
        <v>27</v>
      </c>
      <c r="D17" s="33">
        <f>1.9899*EXP(-0.0581*$D$10)</f>
        <v>1.2501760560262174</v>
      </c>
      <c r="E17" s="6" t="s">
        <v>29</v>
      </c>
      <c r="F17" s="6"/>
      <c r="G17" s="6"/>
      <c r="H17" s="7"/>
      <c r="I17" s="14"/>
      <c r="J17" s="14"/>
      <c r="K17" s="14"/>
      <c r="L17" s="7"/>
    </row>
    <row r="18" spans="3:12" x14ac:dyDescent="0.25">
      <c r="C18" s="13" t="s">
        <v>28</v>
      </c>
      <c r="D18" s="33">
        <f>0.8439*EXP(0.1226*$D$10)</f>
        <v>2.2503341699852788</v>
      </c>
      <c r="E18" s="6" t="s">
        <v>29</v>
      </c>
      <c r="F18" s="6"/>
      <c r="G18" s="6"/>
      <c r="H18" s="7"/>
      <c r="I18" s="14"/>
      <c r="J18" s="14"/>
      <c r="K18" s="14"/>
      <c r="L18" s="7"/>
    </row>
    <row r="19" spans="3:12" x14ac:dyDescent="0.25">
      <c r="C19" s="13"/>
      <c r="D19" s="12"/>
      <c r="E19" s="6"/>
      <c r="F19" s="6"/>
      <c r="G19" s="6"/>
      <c r="H19" s="7"/>
      <c r="I19" s="14"/>
      <c r="J19" s="14"/>
      <c r="K19" s="14"/>
      <c r="L19" s="10"/>
    </row>
    <row r="20" spans="3:12" x14ac:dyDescent="0.25">
      <c r="C20" s="13" t="s">
        <v>25</v>
      </c>
      <c r="D20" s="34">
        <f>D17*D14</f>
        <v>28.848168786940612</v>
      </c>
      <c r="E20" s="6" t="s">
        <v>9</v>
      </c>
      <c r="F20" s="6"/>
      <c r="G20" s="6"/>
      <c r="H20" s="7"/>
      <c r="I20" s="14"/>
      <c r="J20" s="14"/>
      <c r="K20" s="14"/>
      <c r="L20" s="10"/>
    </row>
    <row r="21" spans="3:12" x14ac:dyDescent="0.25">
      <c r="C21" s="13" t="s">
        <v>58</v>
      </c>
      <c r="D21" s="34">
        <f>D18*D14</f>
        <v>51.927102306776092</v>
      </c>
      <c r="E21" s="6" t="s">
        <v>9</v>
      </c>
      <c r="F21" s="6"/>
      <c r="G21" s="6"/>
      <c r="H21" s="7"/>
      <c r="I21" s="14"/>
      <c r="J21" s="14"/>
      <c r="K21" s="14"/>
      <c r="L21" s="10"/>
    </row>
    <row r="22" spans="3:12" x14ac:dyDescent="0.25">
      <c r="C22" s="13" t="s">
        <v>57</v>
      </c>
      <c r="D22" s="34">
        <f>D16*D14</f>
        <v>15.991455972078892</v>
      </c>
      <c r="E22" s="6" t="s">
        <v>9</v>
      </c>
      <c r="F22" s="6"/>
      <c r="G22" s="6"/>
      <c r="H22" s="7"/>
      <c r="I22" s="14"/>
      <c r="J22" s="14"/>
      <c r="K22" s="14"/>
      <c r="L22" s="10"/>
    </row>
    <row r="23" spans="3:12" x14ac:dyDescent="0.25">
      <c r="C23" s="13" t="s">
        <v>56</v>
      </c>
      <c r="D23" s="34">
        <f>D21*(D26/(D26+D27))</f>
        <v>38.70929444686945</v>
      </c>
      <c r="E23" s="6" t="s">
        <v>9</v>
      </c>
      <c r="F23" s="6"/>
      <c r="G23" s="6"/>
      <c r="H23" s="7"/>
      <c r="I23" s="14"/>
      <c r="J23" s="14"/>
      <c r="K23" s="14"/>
      <c r="L23" s="10"/>
    </row>
    <row r="24" spans="3:12" x14ac:dyDescent="0.25">
      <c r="C24" s="13"/>
      <c r="D24" s="12"/>
      <c r="E24" s="6"/>
      <c r="F24" s="6"/>
      <c r="G24" s="6"/>
      <c r="H24" s="7"/>
      <c r="I24" s="14"/>
      <c r="J24" s="14"/>
      <c r="K24" s="14"/>
      <c r="L24" s="10"/>
    </row>
    <row r="25" spans="3:12" x14ac:dyDescent="0.25">
      <c r="C25" s="13" t="s">
        <v>50</v>
      </c>
      <c r="D25" s="34">
        <f>0.1*D13</f>
        <v>89.620155993070583</v>
      </c>
      <c r="E25" s="6" t="s">
        <v>9</v>
      </c>
      <c r="F25" s="8"/>
      <c r="G25" s="6"/>
      <c r="H25" s="7"/>
      <c r="I25" s="14"/>
      <c r="J25" s="14"/>
      <c r="K25" s="14"/>
      <c r="L25" s="10"/>
    </row>
    <row r="26" spans="3:12" x14ac:dyDescent="0.25">
      <c r="C26" s="13" t="s">
        <v>51</v>
      </c>
      <c r="D26" s="34">
        <f>0.41*D13</f>
        <v>367.44263957158938</v>
      </c>
      <c r="E26" s="6" t="s">
        <v>9</v>
      </c>
      <c r="F26" s="8"/>
      <c r="G26" s="6"/>
      <c r="H26" s="7"/>
      <c r="I26" s="14"/>
      <c r="J26" s="14"/>
      <c r="K26" s="14"/>
      <c r="L26" s="7"/>
    </row>
    <row r="27" spans="3:12" x14ac:dyDescent="0.25">
      <c r="C27" s="13" t="s">
        <v>52</v>
      </c>
      <c r="D27" s="34">
        <f>0.14*D13</f>
        <v>125.46821839029883</v>
      </c>
      <c r="E27" s="6" t="s">
        <v>9</v>
      </c>
      <c r="F27" s="8"/>
      <c r="G27" s="6"/>
      <c r="H27" s="7"/>
      <c r="I27" s="14"/>
      <c r="J27" s="14"/>
      <c r="K27" s="14"/>
      <c r="L27" s="7"/>
    </row>
    <row r="28" spans="3:12" x14ac:dyDescent="0.25">
      <c r="C28" s="13" t="s">
        <v>53</v>
      </c>
      <c r="D28" s="34">
        <f>0.11*D13</f>
        <v>98.582171592377634</v>
      </c>
      <c r="E28" s="6" t="s">
        <v>9</v>
      </c>
      <c r="F28" s="8"/>
      <c r="G28" s="6"/>
      <c r="H28" s="7"/>
      <c r="I28" s="14"/>
      <c r="J28" s="14"/>
      <c r="K28" s="14"/>
      <c r="L28" s="7"/>
    </row>
    <row r="29" spans="3:12" x14ac:dyDescent="0.25">
      <c r="C29" s="13" t="s">
        <v>54</v>
      </c>
      <c r="D29" s="34">
        <f>0.24*D13</f>
        <v>215.08837438336937</v>
      </c>
      <c r="E29" s="6" t="s">
        <v>9</v>
      </c>
      <c r="F29" s="8"/>
      <c r="G29" s="6"/>
      <c r="H29" s="7"/>
      <c r="I29" s="14"/>
      <c r="J29" s="14"/>
      <c r="K29" s="14"/>
      <c r="L29" s="7"/>
    </row>
    <row r="30" spans="3:12" x14ac:dyDescent="0.25">
      <c r="C30" s="13" t="s">
        <v>55</v>
      </c>
      <c r="D30" s="34">
        <f>D29</f>
        <v>215.08837438336937</v>
      </c>
      <c r="E30" s="6" t="s">
        <v>9</v>
      </c>
      <c r="F30" s="8"/>
      <c r="G30" s="6"/>
      <c r="H30" s="7"/>
      <c r="I30" s="14"/>
      <c r="J30" s="14"/>
      <c r="K30" s="14"/>
      <c r="L30" s="7"/>
    </row>
    <row r="31" spans="3:12" x14ac:dyDescent="0.25">
      <c r="C31" s="18"/>
      <c r="D31" s="18"/>
      <c r="E31" s="18"/>
      <c r="F31" s="18"/>
      <c r="G31" s="18"/>
      <c r="H31" s="7"/>
      <c r="I31" s="14"/>
      <c r="J31" s="14"/>
      <c r="K31" s="14"/>
      <c r="L31" s="7"/>
    </row>
    <row r="32" spans="3:12" x14ac:dyDescent="0.25">
      <c r="C32" s="9"/>
      <c r="D32" s="7"/>
      <c r="E32" s="7"/>
      <c r="F32" s="7"/>
      <c r="G32" s="7"/>
      <c r="H32" s="7"/>
      <c r="I32" s="7"/>
      <c r="J32" s="7"/>
      <c r="K32" s="7"/>
      <c r="L32" s="7"/>
    </row>
    <row r="33" spans="3:12" x14ac:dyDescent="0.25">
      <c r="C33" s="9"/>
      <c r="D33" s="7"/>
      <c r="E33" s="7"/>
      <c r="F33" s="7"/>
      <c r="G33" s="7"/>
      <c r="H33" s="7"/>
      <c r="I33" s="7"/>
      <c r="J33" s="7"/>
      <c r="K33" s="7"/>
      <c r="L33" s="7"/>
    </row>
    <row r="34" spans="3:12" x14ac:dyDescent="0.25">
      <c r="C34" s="9"/>
      <c r="D34" s="7"/>
      <c r="E34" s="7"/>
      <c r="F34" s="7"/>
      <c r="G34" s="7"/>
      <c r="H34" s="7"/>
      <c r="I34" s="7"/>
      <c r="J34" s="7"/>
      <c r="K34" s="7"/>
      <c r="L34" s="7"/>
    </row>
  </sheetData>
  <mergeCells count="2">
    <mergeCell ref="C2:G3"/>
    <mergeCell ref="C8:G8"/>
  </mergeCells>
  <pageMargins left="0.7" right="0.7" top="0.78740157499999996" bottom="0.78740157499999996" header="0.3" footer="0.3"/>
  <pageSetup paperSize="9" orientation="portrait" horizontalDpi="300" verticalDpi="0" copies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1F67-73C1-489D-A8B1-E4C9BD779EDE}">
  <dimension ref="A1:I23"/>
  <sheetViews>
    <sheetView zoomScale="70" zoomScaleNormal="70" workbookViewId="0">
      <selection activeCell="J13" sqref="J13"/>
    </sheetView>
  </sheetViews>
  <sheetFormatPr defaultRowHeight="13.2" x14ac:dyDescent="0.25"/>
  <cols>
    <col min="2" max="2" width="30.88671875" bestFit="1" customWidth="1"/>
    <col min="3" max="3" width="16.44140625" bestFit="1" customWidth="1"/>
    <col min="5" max="5" width="15.5546875" bestFit="1" customWidth="1"/>
    <col min="7" max="9" width="0" hidden="1" customWidth="1"/>
  </cols>
  <sheetData>
    <row r="1" spans="2:9" ht="13.2" customHeight="1" x14ac:dyDescent="0.25">
      <c r="B1" s="23" t="s">
        <v>1</v>
      </c>
      <c r="C1" s="24"/>
      <c r="D1" s="24"/>
      <c r="E1" s="24"/>
      <c r="F1" s="24"/>
    </row>
    <row r="2" spans="2:9" ht="13.2" customHeight="1" thickBot="1" x14ac:dyDescent="0.3">
      <c r="B2" s="25"/>
      <c r="C2" s="26"/>
      <c r="D2" s="26"/>
      <c r="E2" s="26"/>
      <c r="F2" s="26"/>
    </row>
    <row r="3" spans="2:9" x14ac:dyDescent="0.25">
      <c r="B3" s="1" t="s">
        <v>65</v>
      </c>
      <c r="C3" s="2">
        <v>172</v>
      </c>
      <c r="D3" t="s">
        <v>5</v>
      </c>
    </row>
    <row r="4" spans="2:9" x14ac:dyDescent="0.25">
      <c r="B4" s="1" t="s">
        <v>64</v>
      </c>
      <c r="C4" s="2">
        <v>9000</v>
      </c>
      <c r="D4" t="s">
        <v>30</v>
      </c>
    </row>
    <row r="5" spans="2:9" x14ac:dyDescent="0.25">
      <c r="B5" s="1" t="s">
        <v>25</v>
      </c>
      <c r="C5" s="2">
        <v>29</v>
      </c>
      <c r="D5" t="s">
        <v>9</v>
      </c>
    </row>
    <row r="6" spans="2:9" ht="13.8" x14ac:dyDescent="0.3">
      <c r="B6" s="21" t="s">
        <v>70</v>
      </c>
      <c r="C6" s="2">
        <v>1.1499999999999999</v>
      </c>
      <c r="D6" s="22" t="s">
        <v>5</v>
      </c>
      <c r="G6">
        <f>C6/180*PI()</f>
        <v>2.0071286397934786E-2</v>
      </c>
      <c r="H6">
        <f>TAN(G6)^-1</f>
        <v>49.815726359405936</v>
      </c>
      <c r="I6" t="s">
        <v>11</v>
      </c>
    </row>
    <row r="7" spans="2:9" x14ac:dyDescent="0.25">
      <c r="B7" s="1" t="s">
        <v>71</v>
      </c>
      <c r="C7" s="2">
        <v>3</v>
      </c>
      <c r="D7" s="22" t="s">
        <v>5</v>
      </c>
      <c r="G7">
        <f>C7/180*PI()</f>
        <v>5.2359877559829883E-2</v>
      </c>
      <c r="H7">
        <f>TAN(G7)^-1</f>
        <v>19.081136687728215</v>
      </c>
      <c r="I7" t="s">
        <v>13</v>
      </c>
    </row>
    <row r="8" spans="2:9" x14ac:dyDescent="0.25">
      <c r="B8" s="1" t="s">
        <v>72</v>
      </c>
      <c r="C8" s="2">
        <v>8.5</v>
      </c>
      <c r="D8" s="22" t="s">
        <v>5</v>
      </c>
      <c r="G8">
        <f>C8/180*PI()</f>
        <v>0.148352986419518</v>
      </c>
      <c r="H8">
        <f>TAN(G8)^-1</f>
        <v>6.6911562383174097</v>
      </c>
      <c r="I8" t="s">
        <v>14</v>
      </c>
    </row>
    <row r="9" spans="2:9" x14ac:dyDescent="0.25">
      <c r="B9" s="1" t="s">
        <v>73</v>
      </c>
      <c r="C9" s="2">
        <v>150</v>
      </c>
      <c r="D9" t="s">
        <v>9</v>
      </c>
    </row>
    <row r="10" spans="2:9" s="19" customFormat="1" x14ac:dyDescent="0.25">
      <c r="B10" s="1" t="s">
        <v>69</v>
      </c>
      <c r="C10" s="2">
        <v>11</v>
      </c>
      <c r="D10" s="19" t="s">
        <v>29</v>
      </c>
    </row>
    <row r="11" spans="2:9" x14ac:dyDescent="0.25">
      <c r="B11" s="1" t="s">
        <v>68</v>
      </c>
      <c r="C11" s="35">
        <f>C3*42545/C4</f>
        <v>813.08222222222219</v>
      </c>
      <c r="D11" t="s">
        <v>9</v>
      </c>
    </row>
    <row r="12" spans="2:9" s="18" customFormat="1" x14ac:dyDescent="0.25">
      <c r="B12" s="1" t="s">
        <v>49</v>
      </c>
      <c r="C12" s="35">
        <f>C5</f>
        <v>29</v>
      </c>
      <c r="D12" s="18" t="s">
        <v>9</v>
      </c>
    </row>
    <row r="13" spans="2:9" x14ac:dyDescent="0.25">
      <c r="B13" s="1" t="s">
        <v>34</v>
      </c>
      <c r="C13" s="20">
        <f>C10*C5</f>
        <v>319</v>
      </c>
      <c r="D13" t="s">
        <v>9</v>
      </c>
      <c r="F13" s="5"/>
      <c r="G13" s="5"/>
      <c r="H13" s="5"/>
    </row>
    <row r="14" spans="2:9" x14ac:dyDescent="0.25">
      <c r="B14" s="1" t="s">
        <v>35</v>
      </c>
      <c r="C14" s="35">
        <f>C5+((C13-C9)*2/H6)</f>
        <v>35.785005954975517</v>
      </c>
      <c r="D14" t="s">
        <v>9</v>
      </c>
    </row>
    <row r="15" spans="2:9" x14ac:dyDescent="0.25">
      <c r="B15" s="1" t="s">
        <v>36</v>
      </c>
      <c r="C15" s="35">
        <f>2.5*C5</f>
        <v>72.5</v>
      </c>
      <c r="D15" t="s">
        <v>9</v>
      </c>
    </row>
    <row r="16" spans="2:9" x14ac:dyDescent="0.25">
      <c r="B16" s="1" t="s">
        <v>43</v>
      </c>
      <c r="C16" s="35">
        <f>(C15-C14)/2*H7</f>
        <v>350.2819099311198</v>
      </c>
      <c r="D16" t="s">
        <v>9</v>
      </c>
    </row>
    <row r="17" spans="1:5" x14ac:dyDescent="0.25">
      <c r="B17" s="1" t="s">
        <v>44</v>
      </c>
      <c r="C17" s="35">
        <f>C15/2*H8</f>
        <v>242.5544136390061</v>
      </c>
      <c r="D17" t="s">
        <v>9</v>
      </c>
    </row>
    <row r="18" spans="1:5" x14ac:dyDescent="0.25">
      <c r="B18" s="1" t="s">
        <v>45</v>
      </c>
      <c r="C18" s="35">
        <f>C11-C13-C16-C17/2</f>
        <v>22.523105471599337</v>
      </c>
      <c r="D18" t="s">
        <v>9</v>
      </c>
    </row>
    <row r="19" spans="1:5" x14ac:dyDescent="0.25">
      <c r="B19" s="1" t="s">
        <v>46</v>
      </c>
      <c r="C19" s="37">
        <v>18</v>
      </c>
      <c r="D19" t="s">
        <v>9</v>
      </c>
      <c r="E19" t="s">
        <v>18</v>
      </c>
    </row>
    <row r="20" spans="1:5" x14ac:dyDescent="0.25">
      <c r="B20" s="1" t="s">
        <v>47</v>
      </c>
      <c r="C20" s="37">
        <v>220</v>
      </c>
      <c r="D20" t="s">
        <v>9</v>
      </c>
      <c r="E20" t="s">
        <v>22</v>
      </c>
    </row>
    <row r="21" spans="1:5" x14ac:dyDescent="0.25">
      <c r="B21" s="1" t="s">
        <v>48</v>
      </c>
      <c r="C21" s="35">
        <f>(C15-C19)/2*H8</f>
        <v>182.3340074941494</v>
      </c>
      <c r="D21" t="s">
        <v>9</v>
      </c>
    </row>
    <row r="22" spans="1:5" x14ac:dyDescent="0.25">
      <c r="A22" s="19"/>
      <c r="B22" s="19"/>
      <c r="C22" s="19"/>
      <c r="D22" s="19"/>
    </row>
    <row r="23" spans="1:5" x14ac:dyDescent="0.25">
      <c r="A23" s="19"/>
      <c r="B23" s="19"/>
      <c r="C23" s="19"/>
      <c r="D23" s="19"/>
    </row>
  </sheetData>
  <mergeCells count="1">
    <mergeCell ref="B1:F2"/>
  </mergeCells>
  <pageMargins left="0.7" right="0.7" top="0.78740157499999996" bottom="0.78740157499999996" header="0.3" footer="0.3"/>
  <pageSetup paperSize="9" orientation="portrait" horizont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Jennings</vt:lpstr>
      <vt:lpstr>Blair</vt:lpstr>
      <vt:lpstr>Bell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Sedlář</dc:creator>
  <cp:lastModifiedBy>Jakub Sedlář</cp:lastModifiedBy>
  <dcterms:created xsi:type="dcterms:W3CDTF">2019-05-07T07:10:50Z</dcterms:created>
  <dcterms:modified xsi:type="dcterms:W3CDTF">2019-07-10T12:09:50Z</dcterms:modified>
</cp:coreProperties>
</file>