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 codeName="{54D0D2CB-4C12-4D6E-6EDF-ACB5E8E520A3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kub\OneDrive\Dokumenty\ČVUT\variátor\variátory\DP_Štětina\CD_DP_Jakub_ŠTĚTINA\"/>
    </mc:Choice>
  </mc:AlternateContent>
  <xr:revisionPtr revIDLastSave="718" documentId="10_ncr:100000_{CC4E3578-11EE-42F2-A770-D82050A0190D}" xr6:coauthVersionLast="43" xr6:coauthVersionMax="43" xr10:uidLastSave="{70E4680E-A56C-46EC-977D-F04872BD503F}"/>
  <bookViews>
    <workbookView xWindow="57480" yWindow="8535" windowWidth="29040" windowHeight="15840" activeTab="1" xr2:uid="{AD67F51A-FC7B-4520-9E30-5781EE374131}"/>
  </bookViews>
  <sheets>
    <sheet name="Tabulka výsledných hodnot" sheetId="5" r:id="rId1"/>
    <sheet name="Výpočet" sheetId="1" r:id="rId2"/>
  </sheets>
  <functionGroups builtInGroupCount="19"/>
  <definedNames>
    <definedName name="solver_adj" localSheetId="1" hidden="1">Výpočet!$E$4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lhs1" localSheetId="1" hidden="1">Výpočet!$E$6</definedName>
    <definedName name="solver_lhs2" localSheetId="1" hidden="1">Výpočet!$O$7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Výpočet!$G$58</definedName>
    <definedName name="solver_pre" localSheetId="1" hidden="1">0.000001</definedName>
    <definedName name="solver_rbv" localSheetId="1" hidden="1">2</definedName>
    <definedName name="solver_rel1" localSheetId="1" hidden="1">1</definedName>
    <definedName name="solver_rel2" localSheetId="1" hidden="1">1</definedName>
    <definedName name="solver_rhs1" localSheetId="1" hidden="1">10</definedName>
    <definedName name="solver_rhs2" localSheetId="1" hidden="1">20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3</definedName>
    <definedName name="solver_val" localSheetId="1" hidden="1">14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8" i="1" l="1"/>
  <c r="O79" i="1"/>
  <c r="N79" i="1"/>
  <c r="M79" i="1"/>
  <c r="L79" i="1"/>
  <c r="K79" i="1"/>
  <c r="J79" i="1"/>
  <c r="I79" i="1"/>
  <c r="H79" i="1"/>
  <c r="G79" i="1"/>
  <c r="F79" i="1"/>
  <c r="E79" i="1"/>
  <c r="O78" i="1"/>
  <c r="N78" i="1"/>
  <c r="M78" i="1"/>
  <c r="L78" i="1"/>
  <c r="K78" i="1"/>
  <c r="J78" i="1"/>
  <c r="I78" i="1"/>
  <c r="H78" i="1"/>
  <c r="G78" i="1"/>
  <c r="F78" i="1"/>
  <c r="E78" i="1"/>
  <c r="H46" i="1"/>
  <c r="F47" i="1"/>
  <c r="N47" i="1"/>
  <c r="I46" i="1"/>
  <c r="G47" i="1"/>
  <c r="O47" i="1"/>
  <c r="J46" i="1"/>
  <c r="H47" i="1"/>
  <c r="L46" i="1"/>
  <c r="J47" i="1"/>
  <c r="M46" i="1"/>
  <c r="K47" i="1"/>
  <c r="F46" i="1"/>
  <c r="N46" i="1"/>
  <c r="L47" i="1"/>
  <c r="G46" i="1"/>
  <c r="O46" i="1"/>
  <c r="M47" i="1"/>
  <c r="K46" i="1"/>
  <c r="I47" i="1"/>
  <c r="E47" i="1"/>
  <c r="E46" i="1"/>
  <c r="F4" i="1" l="1"/>
  <c r="E44" i="1"/>
  <c r="E6" i="1" l="1"/>
  <c r="E26" i="1"/>
  <c r="E73" i="1" l="1"/>
  <c r="E74" i="1" s="1"/>
  <c r="E14" i="1"/>
  <c r="E58" i="1"/>
  <c r="F18" i="1"/>
  <c r="G18" i="1"/>
  <c r="H18" i="1" s="1"/>
  <c r="I18" i="1" s="1"/>
  <c r="J18" i="1" s="1"/>
  <c r="K18" i="1" s="1"/>
  <c r="L18" i="1" s="1"/>
  <c r="M18" i="1" s="1"/>
  <c r="N18" i="1" s="1"/>
  <c r="O18" i="1" s="1"/>
  <c r="F17" i="1"/>
  <c r="G17" i="1" s="1"/>
  <c r="H17" i="1" s="1"/>
  <c r="I17" i="1" s="1"/>
  <c r="J17" i="1" s="1"/>
  <c r="K17" i="1" s="1"/>
  <c r="L17" i="1" s="1"/>
  <c r="M17" i="1" s="1"/>
  <c r="N17" i="1" s="1"/>
  <c r="O17" i="1" s="1"/>
  <c r="F31" i="1"/>
  <c r="G31" i="1" s="1"/>
  <c r="H31" i="1" s="1"/>
  <c r="I31" i="1" s="1"/>
  <c r="J31" i="1" s="1"/>
  <c r="K31" i="1" s="1"/>
  <c r="L31" i="1" s="1"/>
  <c r="M31" i="1" s="1"/>
  <c r="N31" i="1" s="1"/>
  <c r="O31" i="1" s="1"/>
  <c r="F30" i="1"/>
  <c r="G30" i="1" s="1"/>
  <c r="H30" i="1" s="1"/>
  <c r="I30" i="1" s="1"/>
  <c r="J30" i="1" s="1"/>
  <c r="K30" i="1" s="1"/>
  <c r="L30" i="1" s="1"/>
  <c r="M30" i="1" s="1"/>
  <c r="N30" i="1" s="1"/>
  <c r="O30" i="1" s="1"/>
  <c r="F25" i="1"/>
  <c r="G25" i="1"/>
  <c r="H25" i="1" s="1"/>
  <c r="I25" i="1" s="1"/>
  <c r="J25" i="1" s="1"/>
  <c r="K25" i="1" s="1"/>
  <c r="L25" i="1" s="1"/>
  <c r="M25" i="1" s="1"/>
  <c r="N25" i="1" s="1"/>
  <c r="O25" i="1" s="1"/>
  <c r="F24" i="1"/>
  <c r="G24" i="1"/>
  <c r="H24" i="1"/>
  <c r="I24" i="1" s="1"/>
  <c r="J24" i="1" s="1"/>
  <c r="K24" i="1" s="1"/>
  <c r="L24" i="1" s="1"/>
  <c r="M24" i="1" s="1"/>
  <c r="N24" i="1" s="1"/>
  <c r="O24" i="1" s="1"/>
  <c r="F28" i="1"/>
  <c r="G28" i="1" s="1"/>
  <c r="H28" i="1" s="1"/>
  <c r="I28" i="1" s="1"/>
  <c r="J28" i="1" s="1"/>
  <c r="K28" i="1" s="1"/>
  <c r="L28" i="1" s="1"/>
  <c r="M28" i="1" s="1"/>
  <c r="N28" i="1" s="1"/>
  <c r="O28" i="1" s="1"/>
  <c r="F29" i="1"/>
  <c r="F23" i="1"/>
  <c r="G23" i="1" s="1"/>
  <c r="H23" i="1" s="1"/>
  <c r="I23" i="1" s="1"/>
  <c r="J23" i="1" s="1"/>
  <c r="K23" i="1" s="1"/>
  <c r="L23" i="1" s="1"/>
  <c r="M23" i="1" s="1"/>
  <c r="N23" i="1" s="1"/>
  <c r="O23" i="1" s="1"/>
  <c r="G22" i="1"/>
  <c r="H22" i="1" s="1"/>
  <c r="I22" i="1" s="1"/>
  <c r="J22" i="1" s="1"/>
  <c r="K22" i="1" s="1"/>
  <c r="L22" i="1" s="1"/>
  <c r="M22" i="1" s="1"/>
  <c r="N22" i="1" s="1"/>
  <c r="O22" i="1" s="1"/>
  <c r="F12" i="1"/>
  <c r="F44" i="1" s="1"/>
  <c r="E15" i="1"/>
  <c r="F5" i="1"/>
  <c r="G5" i="1" s="1"/>
  <c r="G4" i="1"/>
  <c r="G12" i="1" l="1"/>
  <c r="G29" i="1"/>
  <c r="H29" i="1" s="1"/>
  <c r="I29" i="1" s="1"/>
  <c r="J29" i="1" s="1"/>
  <c r="K29" i="1" s="1"/>
  <c r="L29" i="1" s="1"/>
  <c r="M29" i="1" s="1"/>
  <c r="N29" i="1" s="1"/>
  <c r="O29" i="1" s="1"/>
  <c r="E8" i="1"/>
  <c r="E7" i="1"/>
  <c r="H4" i="1"/>
  <c r="G15" i="1"/>
  <c r="H5" i="1"/>
  <c r="F15" i="1"/>
  <c r="E32" i="1"/>
  <c r="G44" i="1" l="1"/>
  <c r="H12" i="1"/>
  <c r="E10" i="1"/>
  <c r="E11" i="1" s="1"/>
  <c r="I5" i="1"/>
  <c r="I4" i="1"/>
  <c r="H15" i="1"/>
  <c r="I12" i="1" l="1"/>
  <c r="H44" i="1"/>
  <c r="E13" i="1"/>
  <c r="E45" i="1" s="1"/>
  <c r="E59" i="1"/>
  <c r="J4" i="1"/>
  <c r="I15" i="1"/>
  <c r="J5" i="1"/>
  <c r="I44" i="1" l="1"/>
  <c r="J12" i="1"/>
  <c r="E16" i="1"/>
  <c r="G60" i="1"/>
  <c r="J15" i="1"/>
  <c r="K4" i="1"/>
  <c r="K5" i="1"/>
  <c r="J44" i="1" l="1"/>
  <c r="K12" i="1"/>
  <c r="K15" i="1" s="1"/>
  <c r="L4" i="1"/>
  <c r="L5" i="1"/>
  <c r="K44" i="1" l="1"/>
  <c r="L12" i="1"/>
  <c r="M4" i="1"/>
  <c r="M5" i="1"/>
  <c r="L44" i="1" l="1"/>
  <c r="M12" i="1"/>
  <c r="L15" i="1"/>
  <c r="M15" i="1"/>
  <c r="N4" i="1"/>
  <c r="N5" i="1"/>
  <c r="M44" i="1" l="1"/>
  <c r="N12" i="1"/>
  <c r="N15" i="1"/>
  <c r="O4" i="1"/>
  <c r="O5" i="1"/>
  <c r="N44" i="1" l="1"/>
  <c r="O12" i="1"/>
  <c r="O44" i="1" s="1"/>
  <c r="O6" i="1"/>
  <c r="O26" i="1"/>
  <c r="O15" i="1" l="1"/>
  <c r="O8" i="1"/>
  <c r="M6" i="1"/>
  <c r="G6" i="1"/>
  <c r="L6" i="1"/>
  <c r="I6" i="1"/>
  <c r="H6" i="1"/>
  <c r="N6" i="1"/>
  <c r="K6" i="1"/>
  <c r="J6" i="1"/>
  <c r="F6" i="1"/>
  <c r="O14" i="1"/>
  <c r="O7" i="1"/>
  <c r="M26" i="1"/>
  <c r="N26" i="1"/>
  <c r="F26" i="1"/>
  <c r="H26" i="1"/>
  <c r="K26" i="1"/>
  <c r="L26" i="1"/>
  <c r="G26" i="1"/>
  <c r="O32" i="1"/>
  <c r="J26" i="1"/>
  <c r="I26" i="1"/>
  <c r="O34" i="1" l="1"/>
  <c r="O10" i="1"/>
  <c r="O11" i="1" s="1"/>
  <c r="O13" i="1" s="1"/>
  <c r="O45" i="1" s="1"/>
  <c r="K14" i="1"/>
  <c r="K7" i="1"/>
  <c r="K8" i="1"/>
  <c r="H14" i="1"/>
  <c r="H7" i="1"/>
  <c r="H8" i="1"/>
  <c r="G8" i="1"/>
  <c r="G14" i="1"/>
  <c r="G7" i="1"/>
  <c r="N8" i="1"/>
  <c r="N7" i="1"/>
  <c r="N14" i="1"/>
  <c r="I14" i="1"/>
  <c r="I7" i="1"/>
  <c r="I8" i="1"/>
  <c r="M7" i="1"/>
  <c r="M8" i="1"/>
  <c r="M14" i="1"/>
  <c r="L8" i="1"/>
  <c r="L14" i="1"/>
  <c r="L7" i="1"/>
  <c r="F8" i="1"/>
  <c r="F14" i="1"/>
  <c r="F7" i="1"/>
  <c r="J8" i="1"/>
  <c r="J14" i="1"/>
  <c r="J7" i="1"/>
  <c r="K32" i="1"/>
  <c r="H32" i="1"/>
  <c r="N32" i="1"/>
  <c r="M32" i="1"/>
  <c r="L32" i="1"/>
  <c r="J32" i="1"/>
  <c r="F32" i="1"/>
  <c r="I32" i="1"/>
  <c r="G32" i="1"/>
  <c r="G10" i="1" l="1"/>
  <c r="G11" i="1" s="1"/>
  <c r="M10" i="1"/>
  <c r="M11" i="1" s="1"/>
  <c r="E34" i="1"/>
  <c r="F34" i="1" s="1"/>
  <c r="G34" i="1" s="1"/>
  <c r="G35" i="1" s="1"/>
  <c r="O35" i="1"/>
  <c r="G59" i="1"/>
  <c r="L10" i="1"/>
  <c r="L11" i="1" s="1"/>
  <c r="L13" i="1" s="1"/>
  <c r="I10" i="1"/>
  <c r="I11" i="1" s="1"/>
  <c r="I13" i="1" s="1"/>
  <c r="K10" i="1"/>
  <c r="K11" i="1" s="1"/>
  <c r="K13" i="1" s="1"/>
  <c r="J10" i="1"/>
  <c r="J11" i="1" s="1"/>
  <c r="J13" i="1" s="1"/>
  <c r="H10" i="1"/>
  <c r="H11" i="1" s="1"/>
  <c r="H13" i="1" s="1"/>
  <c r="F10" i="1"/>
  <c r="F11" i="1" s="1"/>
  <c r="F13" i="1" s="1"/>
  <c r="N10" i="1"/>
  <c r="N11" i="1" s="1"/>
  <c r="N13" i="1" s="1"/>
  <c r="M13" i="1"/>
  <c r="E60" i="1"/>
  <c r="O16" i="1"/>
  <c r="G13" i="1"/>
  <c r="F9" i="1"/>
  <c r="G9" i="1" s="1"/>
  <c r="H9" i="1" s="1"/>
  <c r="I9" i="1" s="1"/>
  <c r="J9" i="1" s="1"/>
  <c r="K9" i="1" s="1"/>
  <c r="L9" i="1" s="1"/>
  <c r="M9" i="1" s="1"/>
  <c r="N9" i="1" s="1"/>
  <c r="O9" i="1" s="1"/>
  <c r="O36" i="1"/>
  <c r="G41" i="1"/>
  <c r="G39" i="1"/>
  <c r="G38" i="1"/>
  <c r="O40" i="1"/>
  <c r="G40" i="1"/>
  <c r="O38" i="1"/>
  <c r="G37" i="1"/>
  <c r="O41" i="1"/>
  <c r="O37" i="1"/>
  <c r="G36" i="1"/>
  <c r="O39" i="1"/>
  <c r="O90" i="1" l="1"/>
  <c r="O91" i="1" s="1"/>
  <c r="O92" i="1" s="1"/>
  <c r="O93" i="1" s="1"/>
  <c r="O95" i="1" s="1"/>
  <c r="O81" i="1"/>
  <c r="O80" i="1"/>
  <c r="G90" i="1"/>
  <c r="G91" i="1" s="1"/>
  <c r="G92" i="1" s="1"/>
  <c r="G93" i="1" s="1"/>
  <c r="G95" i="1" s="1"/>
  <c r="G81" i="1"/>
  <c r="G80" i="1"/>
  <c r="I16" i="1"/>
  <c r="I45" i="1"/>
  <c r="L16" i="1"/>
  <c r="L45" i="1"/>
  <c r="N16" i="1"/>
  <c r="N45" i="1"/>
  <c r="F16" i="1"/>
  <c r="F45" i="1"/>
  <c r="M16" i="1"/>
  <c r="M45" i="1"/>
  <c r="H16" i="1"/>
  <c r="H45" i="1"/>
  <c r="J16" i="1"/>
  <c r="J45" i="1"/>
  <c r="G16" i="1"/>
  <c r="G45" i="1"/>
  <c r="K16" i="1"/>
  <c r="K45" i="1"/>
  <c r="O42" i="1"/>
  <c r="F35" i="1"/>
  <c r="E35" i="1"/>
  <c r="H34" i="1"/>
  <c r="O70" i="1"/>
  <c r="G42" i="1"/>
  <c r="G70" i="1"/>
  <c r="E41" i="1"/>
  <c r="E38" i="1"/>
  <c r="F40" i="1"/>
  <c r="F36" i="1"/>
  <c r="E40" i="1"/>
  <c r="F38" i="1"/>
  <c r="E37" i="1"/>
  <c r="F41" i="1"/>
  <c r="F39" i="1"/>
  <c r="E36" i="1"/>
  <c r="F37" i="1"/>
  <c r="E39" i="1"/>
  <c r="E90" i="1" l="1"/>
  <c r="E91" i="1" s="1"/>
  <c r="E92" i="1" s="1"/>
  <c r="E93" i="1" s="1"/>
  <c r="E95" i="1" s="1"/>
  <c r="E80" i="1"/>
  <c r="E81" i="1"/>
  <c r="F90" i="1"/>
  <c r="F91" i="1" s="1"/>
  <c r="F92" i="1" s="1"/>
  <c r="F93" i="1" s="1"/>
  <c r="F95" i="1" s="1"/>
  <c r="F80" i="1"/>
  <c r="F81" i="1"/>
  <c r="E70" i="1"/>
  <c r="E42" i="1"/>
  <c r="F70" i="1"/>
  <c r="F42" i="1"/>
  <c r="I34" i="1"/>
  <c r="H35" i="1"/>
  <c r="O51" i="1"/>
  <c r="O52" i="1" s="1"/>
  <c r="G51" i="1"/>
  <c r="G52" i="1" s="1"/>
  <c r="G50" i="1"/>
  <c r="O50" i="1"/>
  <c r="H39" i="1"/>
  <c r="H36" i="1"/>
  <c r="H38" i="1"/>
  <c r="H37" i="1"/>
  <c r="H40" i="1"/>
  <c r="H41" i="1"/>
  <c r="H90" i="1" l="1"/>
  <c r="H91" i="1" s="1"/>
  <c r="H92" i="1" s="1"/>
  <c r="H93" i="1" s="1"/>
  <c r="H95" i="1" s="1"/>
  <c r="H81" i="1"/>
  <c r="H80" i="1"/>
  <c r="F51" i="1"/>
  <c r="F52" i="1" s="1"/>
  <c r="E50" i="1"/>
  <c r="F50" i="1"/>
  <c r="E51" i="1"/>
  <c r="E52" i="1" s="1"/>
  <c r="G53" i="1"/>
  <c r="G54" i="1" s="1"/>
  <c r="H42" i="1"/>
  <c r="H70" i="1"/>
  <c r="J34" i="1"/>
  <c r="I35" i="1"/>
  <c r="O53" i="1"/>
  <c r="O54" i="1" s="1"/>
  <c r="I36" i="1"/>
  <c r="I38" i="1"/>
  <c r="I40" i="1"/>
  <c r="I37" i="1"/>
  <c r="I41" i="1"/>
  <c r="I39" i="1"/>
  <c r="I90" i="1" l="1"/>
  <c r="I91" i="1" s="1"/>
  <c r="I92" i="1" s="1"/>
  <c r="I93" i="1" s="1"/>
  <c r="I95" i="1" s="1"/>
  <c r="I81" i="1"/>
  <c r="I80" i="1"/>
  <c r="E53" i="1"/>
  <c r="E54" i="1" s="1"/>
  <c r="F53" i="1"/>
  <c r="F54" i="1" s="1"/>
  <c r="H51" i="1"/>
  <c r="H52" i="1" s="1"/>
  <c r="H53" i="1" s="1"/>
  <c r="H50" i="1"/>
  <c r="G56" i="1"/>
  <c r="I70" i="1"/>
  <c r="I42" i="1"/>
  <c r="K34" i="1"/>
  <c r="J35" i="1"/>
  <c r="O56" i="1"/>
  <c r="J38" i="1"/>
  <c r="J39" i="1"/>
  <c r="J40" i="1"/>
  <c r="J41" i="1"/>
  <c r="J36" i="1"/>
  <c r="J37" i="1"/>
  <c r="J90" i="1" l="1"/>
  <c r="J91" i="1" s="1"/>
  <c r="J92" i="1" s="1"/>
  <c r="J93" i="1" s="1"/>
  <c r="J95" i="1" s="1"/>
  <c r="J81" i="1"/>
  <c r="J80" i="1"/>
  <c r="E56" i="1"/>
  <c r="F56" i="1"/>
  <c r="I50" i="1"/>
  <c r="I51" i="1"/>
  <c r="I52" i="1" s="1"/>
  <c r="L34" i="1"/>
  <c r="K35" i="1"/>
  <c r="J42" i="1"/>
  <c r="J70" i="1"/>
  <c r="H54" i="1"/>
  <c r="H56" i="1"/>
  <c r="K39" i="1"/>
  <c r="K40" i="1"/>
  <c r="K37" i="1"/>
  <c r="K36" i="1"/>
  <c r="K41" i="1"/>
  <c r="K38" i="1"/>
  <c r="K90" i="1" l="1"/>
  <c r="K91" i="1" s="1"/>
  <c r="K92" i="1" s="1"/>
  <c r="K93" i="1" s="1"/>
  <c r="K95" i="1" s="1"/>
  <c r="K81" i="1"/>
  <c r="K80" i="1"/>
  <c r="I53" i="1"/>
  <c r="I56" i="1" s="1"/>
  <c r="J51" i="1"/>
  <c r="J52" i="1" s="1"/>
  <c r="J50" i="1"/>
  <c r="I54" i="1"/>
  <c r="K70" i="1"/>
  <c r="K42" i="1"/>
  <c r="M34" i="1"/>
  <c r="L35" i="1"/>
  <c r="L36" i="1"/>
  <c r="L38" i="1"/>
  <c r="L37" i="1"/>
  <c r="L41" i="1"/>
  <c r="L39" i="1"/>
  <c r="L40" i="1"/>
  <c r="L90" i="1" l="1"/>
  <c r="L91" i="1" s="1"/>
  <c r="L92" i="1" s="1"/>
  <c r="L93" i="1" s="1"/>
  <c r="L95" i="1" s="1"/>
  <c r="L81" i="1"/>
  <c r="L80" i="1"/>
  <c r="J53" i="1"/>
  <c r="J56" i="1" s="1"/>
  <c r="K51" i="1"/>
  <c r="K52" i="1" s="1"/>
  <c r="K50" i="1"/>
  <c r="L42" i="1"/>
  <c r="L70" i="1"/>
  <c r="N34" i="1"/>
  <c r="N35" i="1" s="1"/>
  <c r="M35" i="1"/>
  <c r="N39" i="1"/>
  <c r="M38" i="1"/>
  <c r="M36" i="1"/>
  <c r="N40" i="1"/>
  <c r="M39" i="1"/>
  <c r="N41" i="1"/>
  <c r="N38" i="1"/>
  <c r="M41" i="1"/>
  <c r="M37" i="1"/>
  <c r="M40" i="1"/>
  <c r="N37" i="1"/>
  <c r="N36" i="1"/>
  <c r="M90" i="1" l="1"/>
  <c r="M91" i="1" s="1"/>
  <c r="M92" i="1" s="1"/>
  <c r="M93" i="1" s="1"/>
  <c r="M95" i="1" s="1"/>
  <c r="M80" i="1"/>
  <c r="M81" i="1"/>
  <c r="N90" i="1"/>
  <c r="N91" i="1" s="1"/>
  <c r="N92" i="1" s="1"/>
  <c r="N93" i="1" s="1"/>
  <c r="N95" i="1" s="1"/>
  <c r="N81" i="1"/>
  <c r="N80" i="1"/>
  <c r="J54" i="1"/>
  <c r="K53" i="1"/>
  <c r="K56" i="1" s="1"/>
  <c r="L50" i="1"/>
  <c r="L51" i="1"/>
  <c r="L52" i="1" s="1"/>
  <c r="M42" i="1"/>
  <c r="M70" i="1"/>
  <c r="N70" i="1"/>
  <c r="E71" i="1" s="1"/>
  <c r="N42" i="1"/>
  <c r="E61" i="1"/>
  <c r="K54" i="1" l="1"/>
  <c r="L53" i="1"/>
  <c r="L56" i="1" s="1"/>
  <c r="N51" i="1"/>
  <c r="N52" i="1" s="1"/>
  <c r="M51" i="1"/>
  <c r="M52" i="1" s="1"/>
  <c r="M50" i="1"/>
  <c r="N50" i="1"/>
  <c r="N53" i="1" s="1"/>
  <c r="E75" i="1"/>
  <c r="L54" i="1" l="1"/>
  <c r="M53" i="1"/>
  <c r="M56" i="1" s="1"/>
  <c r="N54" i="1"/>
  <c r="N56" i="1"/>
  <c r="G58" i="1" s="1"/>
  <c r="H82" i="1" l="1"/>
  <c r="H83" i="1" s="1"/>
  <c r="H87" i="1" s="1"/>
  <c r="J82" i="1"/>
  <c r="J83" i="1" s="1"/>
  <c r="J87" i="1" s="1"/>
  <c r="O82" i="1"/>
  <c r="O83" i="1" s="1"/>
  <c r="O87" i="1" s="1"/>
  <c r="G82" i="1"/>
  <c r="G83" i="1" s="1"/>
  <c r="G87" i="1" s="1"/>
  <c r="E82" i="1"/>
  <c r="E83" i="1" s="1"/>
  <c r="E87" i="1" s="1"/>
  <c r="I82" i="1"/>
  <c r="I83" i="1" s="1"/>
  <c r="I87" i="1" s="1"/>
  <c r="N82" i="1"/>
  <c r="N83" i="1" s="1"/>
  <c r="N87" i="1" s="1"/>
  <c r="F82" i="1"/>
  <c r="F83" i="1" s="1"/>
  <c r="F87" i="1" s="1"/>
  <c r="M82" i="1"/>
  <c r="M83" i="1" s="1"/>
  <c r="M87" i="1" s="1"/>
  <c r="L82" i="1"/>
  <c r="L83" i="1" s="1"/>
  <c r="L87" i="1" s="1"/>
  <c r="K82" i="1"/>
  <c r="K83" i="1" s="1"/>
  <c r="K87" i="1" s="1"/>
  <c r="M54" i="1"/>
</calcChain>
</file>

<file path=xl/sharedStrings.xml><?xml version="1.0" encoding="utf-8"?>
<sst xmlns="http://schemas.openxmlformats.org/spreadsheetml/2006/main" count="317" uniqueCount="202">
  <si>
    <t>parametry</t>
  </si>
  <si>
    <t>převodový poměr</t>
  </si>
  <si>
    <t>průměr centrál</t>
  </si>
  <si>
    <t>průměr koruna</t>
  </si>
  <si>
    <t>satelit pod korunou</t>
  </si>
  <si>
    <t>poloha satelitu od stredu</t>
  </si>
  <si>
    <t>poloha axiální</t>
  </si>
  <si>
    <t>přvodový poměr 2</t>
  </si>
  <si>
    <t>otáčky vstup</t>
  </si>
  <si>
    <t>otáčky výstup</t>
  </si>
  <si>
    <t>otáčky satelitů</t>
  </si>
  <si>
    <t>rychlost centrál</t>
  </si>
  <si>
    <t>rychlost koruna</t>
  </si>
  <si>
    <t>zaoblení central</t>
  </si>
  <si>
    <t>zaobleni koruna</t>
  </si>
  <si>
    <t>central</t>
  </si>
  <si>
    <t>p max</t>
  </si>
  <si>
    <t>E centrál</t>
  </si>
  <si>
    <t>E satelit</t>
  </si>
  <si>
    <t>poisson cental</t>
  </si>
  <si>
    <t>poisson satelit</t>
  </si>
  <si>
    <t>maximální přítlačná síla</t>
  </si>
  <si>
    <t>koruna</t>
  </si>
  <si>
    <t>E koruna</t>
  </si>
  <si>
    <t>poisson koruna</t>
  </si>
  <si>
    <t>změna přítlačné síli v průběhhu</t>
  </si>
  <si>
    <t>skutečná síla linearizace</t>
  </si>
  <si>
    <t>výsledený tlak v doteku</t>
  </si>
  <si>
    <t>axiální síla</t>
  </si>
  <si>
    <t>teplota oleje</t>
  </si>
  <si>
    <t>počet satelitů</t>
  </si>
  <si>
    <t>moment central</t>
  </si>
  <si>
    <t>moment koruna</t>
  </si>
  <si>
    <t>moment z koruny na central</t>
  </si>
  <si>
    <t>moment maximální vstupní</t>
  </si>
  <si>
    <t>moment maximální výstupní</t>
  </si>
  <si>
    <t>maximálni přenášený výkon</t>
  </si>
  <si>
    <t xml:space="preserve">dovolený přenášený výkon pro otáčky </t>
  </si>
  <si>
    <t xml:space="preserve">je </t>
  </si>
  <si>
    <t>kW</t>
  </si>
  <si>
    <t>rozsah převodových poměrů</t>
  </si>
  <si>
    <t>až</t>
  </si>
  <si>
    <t>rozsah výstupních otáček</t>
  </si>
  <si>
    <t xml:space="preserve"> max axiální síla</t>
  </si>
  <si>
    <t>N</t>
  </si>
  <si>
    <t>d</t>
  </si>
  <si>
    <t>D</t>
  </si>
  <si>
    <t>h</t>
  </si>
  <si>
    <t>C [kN]</t>
  </si>
  <si>
    <t>ložisko axial</t>
  </si>
  <si>
    <t>životnost</t>
  </si>
  <si>
    <t>otáčky</t>
  </si>
  <si>
    <t>počet otáček v mil</t>
  </si>
  <si>
    <t>únosnost</t>
  </si>
  <si>
    <t>(síla na ax. ložisko)</t>
  </si>
  <si>
    <t>satelit pod planetou</t>
  </si>
  <si>
    <t>hlavní polosa elipsy doteku planeta-satelit</t>
  </si>
  <si>
    <t>vedlejší polosa elipsy doteku planeta-satelit</t>
  </si>
  <si>
    <t>hlavní polosa elipsy doteku satelit-koruna</t>
  </si>
  <si>
    <t>vedlejší polosa elipsy doteku satelit-koruna</t>
  </si>
  <si>
    <t>spinová rychlost planeta - satelit</t>
  </si>
  <si>
    <t>spinová rychlost koruna - satelit</t>
  </si>
  <si>
    <t>součinitel tření planeta - satelit</t>
  </si>
  <si>
    <t>součinitel tření koruna - satelit</t>
  </si>
  <si>
    <t>radiální síla na 1 satelit</t>
  </si>
  <si>
    <t xml:space="preserve">klopný moment na satelit </t>
  </si>
  <si>
    <t>moment</t>
  </si>
  <si>
    <t>[W]</t>
  </si>
  <si>
    <t>P</t>
  </si>
  <si>
    <t>Maximálni přenositelný výkon</t>
  </si>
  <si>
    <t>[Nm]</t>
  </si>
  <si>
    <r>
      <t>M</t>
    </r>
    <r>
      <rPr>
        <sz val="5"/>
        <color theme="1"/>
        <rFont val="Calibri"/>
        <family val="2"/>
        <charset val="238"/>
        <scheme val="minor"/>
      </rPr>
      <t>out</t>
    </r>
  </si>
  <si>
    <t>Krouticí moment maximální výstupní</t>
  </si>
  <si>
    <r>
      <t>M</t>
    </r>
    <r>
      <rPr>
        <sz val="5"/>
        <color theme="1"/>
        <rFont val="Calibri"/>
        <family val="2"/>
        <charset val="238"/>
        <scheme val="minor"/>
      </rPr>
      <t>in</t>
    </r>
  </si>
  <si>
    <t>Krouticí moment maximální vstupní</t>
  </si>
  <si>
    <r>
      <t>M</t>
    </r>
    <r>
      <rPr>
        <sz val="5"/>
        <color theme="1"/>
        <rFont val="Calibri"/>
        <family val="2"/>
        <charset val="238"/>
        <scheme val="minor"/>
      </rPr>
      <t>eout</t>
    </r>
  </si>
  <si>
    <t>Přepočet momentu z korun na vstup</t>
  </si>
  <si>
    <r>
      <t>M</t>
    </r>
    <r>
      <rPr>
        <sz val="5"/>
        <color theme="1"/>
        <rFont val="Calibri"/>
        <family val="2"/>
        <charset val="238"/>
        <scheme val="minor"/>
      </rPr>
      <t>out*</t>
    </r>
  </si>
  <si>
    <t>Moment korunová kola</t>
  </si>
  <si>
    <r>
      <t>M</t>
    </r>
    <r>
      <rPr>
        <sz val="5"/>
        <color theme="1"/>
        <rFont val="Calibri"/>
        <family val="2"/>
        <charset val="238"/>
        <scheme val="minor"/>
      </rPr>
      <t>in*</t>
    </r>
  </si>
  <si>
    <t>Moment vstupní hříídel</t>
  </si>
  <si>
    <t>[-]</t>
  </si>
  <si>
    <r>
      <t>x</t>
    </r>
    <r>
      <rPr>
        <sz val="5"/>
        <color theme="1"/>
        <rFont val="Calibri"/>
        <family val="2"/>
        <charset val="238"/>
        <scheme val="minor"/>
      </rPr>
      <t>s</t>
    </r>
  </si>
  <si>
    <t>Počet satelitů</t>
  </si>
  <si>
    <r>
      <t>μ</t>
    </r>
    <r>
      <rPr>
        <sz val="5"/>
        <color theme="1"/>
        <rFont val="Calibri"/>
        <family val="2"/>
        <charset val="238"/>
        <scheme val="minor"/>
      </rPr>
      <t>2max</t>
    </r>
  </si>
  <si>
    <t>Součinitel tření koruna - satelit</t>
  </si>
  <si>
    <r>
      <t>μ</t>
    </r>
    <r>
      <rPr>
        <sz val="5"/>
        <color theme="1"/>
        <rFont val="Calibri"/>
        <family val="2"/>
        <charset val="238"/>
        <scheme val="minor"/>
      </rPr>
      <t>1max</t>
    </r>
  </si>
  <si>
    <t>Součinitel tření planeta - satelit</t>
  </si>
  <si>
    <t>[rad/s]</t>
  </si>
  <si>
    <t>ωs2</t>
  </si>
  <si>
    <t>Spinová rychlost koruna - satelit</t>
  </si>
  <si>
    <t>ωs1</t>
  </si>
  <si>
    <t>Spinová rychlost planeta - satelit</t>
  </si>
  <si>
    <t>[°C]</t>
  </si>
  <si>
    <t>Teplota oleje</t>
  </si>
  <si>
    <t>[N]</t>
  </si>
  <si>
    <t>Fa</t>
  </si>
  <si>
    <t>Axiální síla na 1 kolo</t>
  </si>
  <si>
    <t>[mm]</t>
  </si>
  <si>
    <r>
      <t>b</t>
    </r>
    <r>
      <rPr>
        <sz val="5"/>
        <color theme="1"/>
        <rFont val="Calibri"/>
        <family val="2"/>
        <charset val="238"/>
        <scheme val="minor"/>
      </rPr>
      <t>2</t>
    </r>
  </si>
  <si>
    <t>Vedlejší polosa elipsy doteku koruna</t>
  </si>
  <si>
    <r>
      <t>a</t>
    </r>
    <r>
      <rPr>
        <sz val="5"/>
        <color theme="1"/>
        <rFont val="Calibri"/>
        <family val="2"/>
        <charset val="238"/>
        <scheme val="minor"/>
      </rPr>
      <t>2</t>
    </r>
  </si>
  <si>
    <t>Hlavní polosa elipsy doteku koruna</t>
  </si>
  <si>
    <r>
      <t>b</t>
    </r>
    <r>
      <rPr>
        <sz val="5"/>
        <color theme="1"/>
        <rFont val="Calibri"/>
        <family val="2"/>
        <charset val="238"/>
        <scheme val="minor"/>
      </rPr>
      <t>1</t>
    </r>
  </si>
  <si>
    <t>Vedlejší polosa elipsy doteku planeta</t>
  </si>
  <si>
    <r>
      <t>a</t>
    </r>
    <r>
      <rPr>
        <sz val="5"/>
        <color theme="1"/>
        <rFont val="Calibri"/>
        <family val="2"/>
        <charset val="238"/>
        <scheme val="minor"/>
      </rPr>
      <t>1</t>
    </r>
  </si>
  <si>
    <t>Hlavní polosa elipsy doteku planeta</t>
  </si>
  <si>
    <t>[Mpa]</t>
  </si>
  <si>
    <r>
      <t>P</t>
    </r>
    <r>
      <rPr>
        <sz val="5"/>
        <color theme="1"/>
        <rFont val="Calibri"/>
        <family val="2"/>
        <charset val="238"/>
        <scheme val="minor"/>
      </rPr>
      <t>2</t>
    </r>
  </si>
  <si>
    <t>Tlak v doteku satelit - korunové kolo</t>
  </si>
  <si>
    <r>
      <t>P</t>
    </r>
    <r>
      <rPr>
        <sz val="5"/>
        <color theme="1"/>
        <rFont val="Calibri"/>
        <family val="2"/>
        <charset val="238"/>
        <scheme val="minor"/>
      </rPr>
      <t>1</t>
    </r>
  </si>
  <si>
    <t>Tlak v doteku palentové kolo - satelit</t>
  </si>
  <si>
    <r>
      <t>F</t>
    </r>
    <r>
      <rPr>
        <sz val="5"/>
        <color theme="1"/>
        <rFont val="Calibri"/>
        <family val="2"/>
        <charset val="238"/>
        <scheme val="minor"/>
      </rPr>
      <t>N</t>
    </r>
  </si>
  <si>
    <t>Skutečná síla - linearizace</t>
  </si>
  <si>
    <t>Výsledné kontakty</t>
  </si>
  <si>
    <r>
      <t>F</t>
    </r>
    <r>
      <rPr>
        <sz val="5"/>
        <color theme="1"/>
        <rFont val="Calibri"/>
        <family val="2"/>
        <charset val="238"/>
        <scheme val="minor"/>
      </rPr>
      <t>N2</t>
    </r>
  </si>
  <si>
    <t>Maximální normálová přítlačná síla</t>
  </si>
  <si>
    <t>ϑ3</t>
  </si>
  <si>
    <t>Poisson korunového kola</t>
  </si>
  <si>
    <t>ϑ2</t>
  </si>
  <si>
    <t>Poisson kužele satelitu</t>
  </si>
  <si>
    <t>E3</t>
  </si>
  <si>
    <t>Modul pružnosti korunového kola</t>
  </si>
  <si>
    <t>E2</t>
  </si>
  <si>
    <t>Modul pružnosti kuželu satelitu</t>
  </si>
  <si>
    <t>Kontakt satelit korunové kolo</t>
  </si>
  <si>
    <r>
      <t>F</t>
    </r>
    <r>
      <rPr>
        <sz val="5"/>
        <color theme="1"/>
        <rFont val="Calibri"/>
        <family val="2"/>
        <charset val="238"/>
        <scheme val="minor"/>
      </rPr>
      <t>N1</t>
    </r>
  </si>
  <si>
    <t>ϑ1</t>
  </si>
  <si>
    <t>Poisson planetového kola</t>
  </si>
  <si>
    <t>E1</t>
  </si>
  <si>
    <t>Modul pružnosti planetového kola</t>
  </si>
  <si>
    <t>Pmax</t>
  </si>
  <si>
    <t>Maximální kontaktní tlak</t>
  </si>
  <si>
    <t>Kontakt Planetové kolo satelit</t>
  </si>
  <si>
    <r>
      <t>R</t>
    </r>
    <r>
      <rPr>
        <sz val="5"/>
        <color theme="1"/>
        <rFont val="Calibri"/>
        <family val="2"/>
        <charset val="238"/>
        <scheme val="minor"/>
      </rPr>
      <t>3</t>
    </r>
    <r>
      <rPr>
        <sz val="6"/>
        <color theme="1"/>
        <rFont val="Calibri"/>
        <family val="2"/>
        <scheme val="minor"/>
      </rPr>
      <t>'</t>
    </r>
  </si>
  <si>
    <t>Poloměr zaobleni korunového kola</t>
  </si>
  <si>
    <r>
      <t>R</t>
    </r>
    <r>
      <rPr>
        <sz val="5"/>
        <color theme="1"/>
        <rFont val="Calibri"/>
        <family val="2"/>
        <charset val="238"/>
        <scheme val="minor"/>
      </rPr>
      <t>1'</t>
    </r>
  </si>
  <si>
    <t>Poloměr zaoblení planetového kola</t>
  </si>
  <si>
    <t>[m/s]</t>
  </si>
  <si>
    <r>
      <t>v</t>
    </r>
    <r>
      <rPr>
        <sz val="5"/>
        <color theme="1"/>
        <rFont val="Calibri"/>
        <family val="2"/>
        <charset val="238"/>
        <scheme val="minor"/>
      </rPr>
      <t>ok</t>
    </r>
  </si>
  <si>
    <t>Obvodová rychlost korunového kola</t>
  </si>
  <si>
    <r>
      <t>v</t>
    </r>
    <r>
      <rPr>
        <sz val="5"/>
        <color theme="1"/>
        <rFont val="Calibri"/>
        <family val="2"/>
        <charset val="238"/>
        <scheme val="minor"/>
      </rPr>
      <t>op</t>
    </r>
  </si>
  <si>
    <t>Obvodová rychlost planetového kola</t>
  </si>
  <si>
    <t>[ot/min]</t>
  </si>
  <si>
    <r>
      <t>n</t>
    </r>
    <r>
      <rPr>
        <sz val="5"/>
        <color theme="1"/>
        <rFont val="Calibri"/>
        <family val="2"/>
        <charset val="238"/>
        <scheme val="minor"/>
      </rPr>
      <t>s</t>
    </r>
  </si>
  <si>
    <t>Otáčky satelitů</t>
  </si>
  <si>
    <r>
      <t>n</t>
    </r>
    <r>
      <rPr>
        <sz val="5"/>
        <color theme="1"/>
        <rFont val="Calibri"/>
        <family val="2"/>
        <charset val="238"/>
        <scheme val="minor"/>
      </rPr>
      <t>out</t>
    </r>
  </si>
  <si>
    <t>Otáčky výstupní hřídele</t>
  </si>
  <si>
    <r>
      <rPr>
        <sz val="6"/>
        <color theme="1"/>
        <rFont val="Calibri"/>
        <family val="2"/>
        <charset val="238"/>
        <scheme val="minor"/>
      </rPr>
      <t>n</t>
    </r>
    <r>
      <rPr>
        <sz val="5"/>
        <color theme="1"/>
        <rFont val="Calibri"/>
        <family val="2"/>
        <charset val="238"/>
        <scheme val="minor"/>
      </rPr>
      <t>in</t>
    </r>
  </si>
  <si>
    <t>Otáčky vstupní hřídele</t>
  </si>
  <si>
    <t>Is</t>
  </si>
  <si>
    <t>Převodový poměr skutečný</t>
  </si>
  <si>
    <t>La</t>
  </si>
  <si>
    <t>Axiální poloha planetových kol</t>
  </si>
  <si>
    <t>Ls</t>
  </si>
  <si>
    <t>Vzdálenost satelitu od osy variátoru</t>
  </si>
  <si>
    <t>Dsk</t>
  </si>
  <si>
    <t>Průměr satelitu pod korunou</t>
  </si>
  <si>
    <t>Dsp</t>
  </si>
  <si>
    <t>Průmer satelitu pod planetou</t>
  </si>
  <si>
    <t>Dk</t>
  </si>
  <si>
    <t>Průměr korunového kola</t>
  </si>
  <si>
    <t>Dp</t>
  </si>
  <si>
    <t>Průměr planetového kola</t>
  </si>
  <si>
    <t>i</t>
  </si>
  <si>
    <t>Převodový poměr absolutní</t>
  </si>
  <si>
    <t>Hodnota</t>
  </si>
  <si>
    <t>jednotka</t>
  </si>
  <si>
    <t>symbol</t>
  </si>
  <si>
    <t>Veličina</t>
  </si>
  <si>
    <t xml:space="preserve">síla na vyrovnávací ozubení </t>
  </si>
  <si>
    <t xml:space="preserve">únosnost </t>
  </si>
  <si>
    <t>síla na axiální ložisko</t>
  </si>
  <si>
    <t>maximální síla</t>
  </si>
  <si>
    <t>výsledná maximální axiální síla síla</t>
  </si>
  <si>
    <t>0 - konatantní síla, 1 - maximální kontaktní tlaky, 2 - linearizováná síla</t>
  </si>
  <si>
    <t>poloha</t>
  </si>
  <si>
    <t>Jednotka</t>
  </si>
  <si>
    <t>[MPa]</t>
  </si>
  <si>
    <t>[Nmm]</t>
  </si>
  <si>
    <t>planety</t>
  </si>
  <si>
    <t>koruny</t>
  </si>
  <si>
    <t>Součinitel tření</t>
  </si>
  <si>
    <t>Koruticí momenty</t>
  </si>
  <si>
    <t>Výpočet satelitu</t>
  </si>
  <si>
    <t>průměr v místě ložiska</t>
  </si>
  <si>
    <t>převod</t>
  </si>
  <si>
    <r>
      <t>Vzdálenost planetového a korunového kola L</t>
    </r>
    <r>
      <rPr>
        <sz val="10"/>
        <color theme="1"/>
        <rFont val="Calibri"/>
        <family val="2"/>
        <charset val="238"/>
        <scheme val="minor"/>
      </rPr>
      <t>kol</t>
    </r>
  </si>
  <si>
    <t>Moment od radiální složky Mor</t>
  </si>
  <si>
    <t>Mometn od axiální složky Moa</t>
  </si>
  <si>
    <t>Moment od obvodových sil Moo</t>
  </si>
  <si>
    <t>Výsledný ohybový moment Mo1</t>
  </si>
  <si>
    <t>napětí</t>
  </si>
  <si>
    <t>počet cyklů v milionech</t>
  </si>
  <si>
    <t>bezpečnost</t>
  </si>
  <si>
    <t>vyrovnávání satelitu</t>
  </si>
  <si>
    <t>Výpočty rozměrů a zatížení</t>
  </si>
  <si>
    <t>[h]</t>
  </si>
  <si>
    <t>Axiální ložisko</t>
  </si>
  <si>
    <t>převodový poměr - rozsah</t>
  </si>
  <si>
    <t xml:space="preserve"> kontaktní tlaky</t>
  </si>
  <si>
    <r>
      <t xml:space="preserve">vstupní parametry - </t>
    </r>
    <r>
      <rPr>
        <sz val="12"/>
        <color theme="0"/>
        <rFont val="Calibri"/>
        <family val="2"/>
        <charset val="238"/>
        <scheme val="minor"/>
      </rPr>
      <t>vrcholový úhel satelitu 30°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</si>
</sst>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0"/>
    <numFmt numFmtId="165" formatCode="#\ ##0.0"/>
    <numFmt numFmtId="166" formatCode="#\ ##0.00"/>
    <numFmt numFmtId="167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rgb="FF00610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22"/>
      <color rgb="FF00610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6"/>
      <color theme="1"/>
      <name val="Calibri"/>
      <family val="2"/>
      <scheme val="minor"/>
    </font>
    <font>
      <sz val="5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11" fillId="9" borderId="0" applyNumberFormat="0" applyBorder="0" applyAlignment="0" applyProtection="0"/>
    <xf numFmtId="0" fontId="13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39" applyNumberFormat="0" applyFont="0" applyAlignment="0" applyProtection="0"/>
  </cellStyleXfs>
  <cellXfs count="99">
    <xf numFmtId="0" fontId="0" fillId="0" borderId="0" xfId="0"/>
    <xf numFmtId="0" fontId="3" fillId="3" borderId="0" xfId="2"/>
    <xf numFmtId="0" fontId="4" fillId="2" borderId="1" xfId="1" applyFont="1" applyBorder="1"/>
    <xf numFmtId="0" fontId="4" fillId="2" borderId="2" xfId="1" applyFont="1" applyBorder="1" applyAlignment="1">
      <alignment horizontal="center" vertical="center"/>
    </xf>
    <xf numFmtId="0" fontId="4" fillId="2" borderId="3" xfId="1" applyFont="1" applyBorder="1"/>
    <xf numFmtId="0" fontId="1" fillId="4" borderId="0" xfId="2" applyFont="1" applyFill="1"/>
    <xf numFmtId="0" fontId="3" fillId="0" borderId="0" xfId="2" applyFill="1"/>
    <xf numFmtId="0" fontId="6" fillId="5" borderId="4" xfId="3"/>
    <xf numFmtId="0" fontId="7" fillId="6" borderId="5" xfId="4"/>
    <xf numFmtId="0" fontId="4" fillId="2" borderId="2" xfId="1" applyFont="1" applyBorder="1"/>
    <xf numFmtId="0" fontId="3" fillId="7" borderId="0" xfId="5"/>
    <xf numFmtId="2" fontId="10" fillId="8" borderId="3" xfId="6" applyNumberFormat="1" applyFont="1" applyBorder="1"/>
    <xf numFmtId="0" fontId="2" fillId="2" borderId="0" xfId="1"/>
    <xf numFmtId="0" fontId="11" fillId="9" borderId="6" xfId="7" applyBorder="1"/>
    <xf numFmtId="0" fontId="4" fillId="2" borderId="2" xfId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9" borderId="5" xfId="7" applyBorder="1"/>
    <xf numFmtId="0" fontId="11" fillId="9" borderId="4" xfId="7" applyBorder="1"/>
    <xf numFmtId="0" fontId="13" fillId="0" borderId="7" xfId="8"/>
    <xf numFmtId="164" fontId="14" fillId="0" borderId="8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/>
    <xf numFmtId="165" fontId="14" fillId="0" borderId="13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/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/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/>
    <xf numFmtId="0" fontId="14" fillId="0" borderId="24" xfId="0" applyFont="1" applyBorder="1"/>
    <xf numFmtId="166" fontId="14" fillId="0" borderId="13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0" fontId="14" fillId="0" borderId="28" xfId="0" applyFont="1" applyBorder="1"/>
    <xf numFmtId="0" fontId="14" fillId="0" borderId="11" xfId="0" applyFont="1" applyBorder="1"/>
    <xf numFmtId="0" fontId="14" fillId="0" borderId="0" xfId="0" applyFont="1" applyBorder="1"/>
    <xf numFmtId="0" fontId="14" fillId="0" borderId="19" xfId="0" applyFont="1" applyBorder="1"/>
    <xf numFmtId="0" fontId="14" fillId="0" borderId="29" xfId="0" applyFont="1" applyBorder="1"/>
    <xf numFmtId="0" fontId="14" fillId="0" borderId="21" xfId="0" applyFont="1" applyFill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66" fontId="0" fillId="0" borderId="13" xfId="0" applyNumberFormat="1" applyBorder="1"/>
    <xf numFmtId="166" fontId="0" fillId="0" borderId="6" xfId="0" applyNumberForma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166" fontId="14" fillId="0" borderId="32" xfId="0" applyNumberFormat="1" applyFont="1" applyBorder="1" applyAlignment="1">
      <alignment horizontal="center" vertical="center"/>
    </xf>
    <xf numFmtId="166" fontId="14" fillId="0" borderId="31" xfId="0" applyNumberFormat="1" applyFont="1" applyBorder="1" applyAlignment="1">
      <alignment horizontal="center" vertical="center"/>
    </xf>
    <xf numFmtId="166" fontId="14" fillId="0" borderId="33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/>
    <xf numFmtId="0" fontId="14" fillId="0" borderId="38" xfId="0" applyFont="1" applyBorder="1" applyAlignment="1">
      <alignment vertical="center"/>
    </xf>
    <xf numFmtId="0" fontId="12" fillId="0" borderId="38" xfId="0" applyFont="1" applyBorder="1"/>
    <xf numFmtId="0" fontId="12" fillId="0" borderId="1" xfId="0" applyFont="1" applyBorder="1"/>
    <xf numFmtId="0" fontId="9" fillId="2" borderId="2" xfId="1" applyFont="1" applyBorder="1" applyAlignment="1">
      <alignment horizontal="center"/>
    </xf>
    <xf numFmtId="0" fontId="4" fillId="2" borderId="2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2" applyFont="1" applyAlignment="1">
      <alignment horizontal="center"/>
    </xf>
    <xf numFmtId="0" fontId="3" fillId="3" borderId="0" xfId="2" applyAlignment="1">
      <alignment horizontal="center"/>
    </xf>
    <xf numFmtId="2" fontId="0" fillId="0" borderId="0" xfId="0" applyNumberFormat="1"/>
    <xf numFmtId="167" fontId="0" fillId="0" borderId="0" xfId="0" applyNumberFormat="1"/>
    <xf numFmtId="0" fontId="2" fillId="11" borderId="39" xfId="10" applyFont="1"/>
    <xf numFmtId="0" fontId="18" fillId="10" borderId="0" xfId="9"/>
    <xf numFmtId="0" fontId="17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12" borderId="0" xfId="0" applyFont="1" applyFill="1" applyAlignment="1">
      <alignment horizontal="center"/>
    </xf>
    <xf numFmtId="0" fontId="9" fillId="2" borderId="1" xfId="1" applyFont="1" applyBorder="1" applyAlignment="1">
      <alignment horizontal="center"/>
    </xf>
    <xf numFmtId="0" fontId="9" fillId="2" borderId="2" xfId="1" applyFont="1" applyBorder="1" applyAlignment="1">
      <alignment horizontal="center"/>
    </xf>
    <xf numFmtId="0" fontId="9" fillId="2" borderId="3" xfId="1" applyFont="1" applyBorder="1" applyAlignment="1">
      <alignment horizontal="center"/>
    </xf>
    <xf numFmtId="0" fontId="4" fillId="2" borderId="1" xfId="1" applyFont="1" applyBorder="1" applyAlignment="1">
      <alignment horizontal="center"/>
    </xf>
    <xf numFmtId="0" fontId="4" fillId="2" borderId="2" xfId="1" applyFont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5" fillId="3" borderId="0" xfId="2" applyFont="1" applyAlignment="1">
      <alignment horizontal="center"/>
    </xf>
    <xf numFmtId="0" fontId="13" fillId="0" borderId="7" xfId="8" applyAlignment="1">
      <alignment horizontal="center" vertical="center"/>
    </xf>
  </cellXfs>
  <cellStyles count="11">
    <cellStyle name="Accent1" xfId="2" builtinId="29"/>
    <cellStyle name="Accent2" xfId="5" builtinId="33"/>
    <cellStyle name="Accent4" xfId="6" builtinId="41"/>
    <cellStyle name="Bad" xfId="9" builtinId="27"/>
    <cellStyle name="Calculation" xfId="3" builtinId="22"/>
    <cellStyle name="Check Cell" xfId="4" builtinId="23"/>
    <cellStyle name="Good" xfId="1" builtinId="26"/>
    <cellStyle name="Heading 1" xfId="8" builtinId="16"/>
    <cellStyle name="Neutral" xfId="7" builtinId="28"/>
    <cellStyle name="Normal" xfId="0" builtinId="0"/>
    <cellStyle name="Note" xfId="10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Přenášený výkon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Výpočet!$E$11:$O$11</c:f>
              <c:numCache>
                <c:formatCode>General</c:formatCode>
                <c:ptCount val="11"/>
                <c:pt idx="0">
                  <c:v>0.79999999999999982</c:v>
                </c:pt>
                <c:pt idx="1">
                  <c:v>0.94295227524972269</c:v>
                </c:pt>
                <c:pt idx="2">
                  <c:v>1.1023474178403756</c:v>
                </c:pt>
                <c:pt idx="3">
                  <c:v>1.2811955168119551</c:v>
                </c:pt>
                <c:pt idx="4">
                  <c:v>1.483289124668435</c:v>
                </c:pt>
                <c:pt idx="5">
                  <c:v>1.7134751773049643</c:v>
                </c:pt>
                <c:pt idx="6">
                  <c:v>1.9780487804878049</c:v>
                </c:pt>
                <c:pt idx="7">
                  <c:v>2.2853377265238879</c:v>
                </c:pt>
                <c:pt idx="8">
                  <c:v>2.6465949820788528</c:v>
                </c:pt>
                <c:pt idx="9">
                  <c:v>3.0774066797642443</c:v>
                </c:pt>
                <c:pt idx="10">
                  <c:v>3.6000000000000005</c:v>
                </c:pt>
              </c:numCache>
            </c:numRef>
          </c:xVal>
          <c:yVal>
            <c:numRef>
              <c:f>Výpočet!$E$56:$O$56</c:f>
              <c:numCache>
                <c:formatCode>General</c:formatCode>
                <c:ptCount val="11"/>
                <c:pt idx="0">
                  <c:v>35345.987432904687</c:v>
                </c:pt>
                <c:pt idx="1">
                  <c:v>38245.319463628708</c:v>
                </c:pt>
                <c:pt idx="2">
                  <c:v>41071.787221623388</c:v>
                </c:pt>
                <c:pt idx="3">
                  <c:v>43894.777500605407</c:v>
                </c:pt>
                <c:pt idx="4">
                  <c:v>46714.719270620066</c:v>
                </c:pt>
                <c:pt idx="5">
                  <c:v>49531.956048017106</c:v>
                </c:pt>
                <c:pt idx="6">
                  <c:v>47687.65249301384</c:v>
                </c:pt>
                <c:pt idx="7">
                  <c:v>44873.670277189936</c:v>
                </c:pt>
                <c:pt idx="8">
                  <c:v>41937.14566970522</c:v>
                </c:pt>
                <c:pt idx="9">
                  <c:v>38879.205194554401</c:v>
                </c:pt>
                <c:pt idx="10">
                  <c:v>35697.649047558712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75F-4627-A160-8BC938A5F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782704"/>
        <c:axId val="984782376"/>
      </c:scatterChart>
      <c:valAx>
        <c:axId val="98478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převodový poměr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782376"/>
        <c:crosses val="autoZero"/>
        <c:crossBetween val="midCat"/>
      </c:valAx>
      <c:valAx>
        <c:axId val="984782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přenášený</a:t>
                </a:r>
                <a:r>
                  <a:rPr lang="cs-CZ" baseline="0"/>
                  <a:t> výkon </a:t>
                </a:r>
                <a:r>
                  <a:rPr lang="en-US" baseline="0"/>
                  <a:t>[W]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84782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</a:t>
            </a:r>
            <a:r>
              <a:rPr lang="en-US"/>
              <a:t>řítlačná axiální síla</a:t>
            </a:r>
            <a:r>
              <a:rPr lang="cs-CZ"/>
              <a:t> kol v závisloti na převodovém poměru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přítlačná axiální síla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Výpočet!$E$11:$O$11</c:f>
              <c:numCache>
                <c:formatCode>General</c:formatCode>
                <c:ptCount val="11"/>
                <c:pt idx="0">
                  <c:v>0.79999999999999982</c:v>
                </c:pt>
                <c:pt idx="1">
                  <c:v>0.94295227524972269</c:v>
                </c:pt>
                <c:pt idx="2">
                  <c:v>1.1023474178403756</c:v>
                </c:pt>
                <c:pt idx="3">
                  <c:v>1.2811955168119551</c:v>
                </c:pt>
                <c:pt idx="4">
                  <c:v>1.483289124668435</c:v>
                </c:pt>
                <c:pt idx="5">
                  <c:v>1.7134751773049643</c:v>
                </c:pt>
                <c:pt idx="6">
                  <c:v>1.9780487804878049</c:v>
                </c:pt>
                <c:pt idx="7">
                  <c:v>2.2853377265238879</c:v>
                </c:pt>
                <c:pt idx="8">
                  <c:v>2.6465949820788528</c:v>
                </c:pt>
                <c:pt idx="9">
                  <c:v>3.0774066797642443</c:v>
                </c:pt>
                <c:pt idx="10">
                  <c:v>3.6000000000000005</c:v>
                </c:pt>
              </c:numCache>
            </c:numRef>
          </c:xVal>
          <c:yVal>
            <c:numRef>
              <c:f>Výpočet!$E$35:$O$35</c:f>
              <c:numCache>
                <c:formatCode>General</c:formatCode>
                <c:ptCount val="11"/>
                <c:pt idx="0">
                  <c:v>3557.3904055117705</c:v>
                </c:pt>
                <c:pt idx="1">
                  <c:v>3862.6853164920713</c:v>
                </c:pt>
                <c:pt idx="2">
                  <c:v>4167.9802274723725</c:v>
                </c:pt>
                <c:pt idx="3">
                  <c:v>4473.2751384526737</c:v>
                </c:pt>
                <c:pt idx="4">
                  <c:v>4778.5700494329749</c:v>
                </c:pt>
                <c:pt idx="5">
                  <c:v>5083.8649604132761</c:v>
                </c:pt>
                <c:pt idx="6">
                  <c:v>5389.1598713935773</c:v>
                </c:pt>
                <c:pt idx="7">
                  <c:v>5694.4547823738785</c:v>
                </c:pt>
                <c:pt idx="8">
                  <c:v>5999.7496933541797</c:v>
                </c:pt>
                <c:pt idx="9">
                  <c:v>6305.0446043344809</c:v>
                </c:pt>
                <c:pt idx="10">
                  <c:v>6610.3395153147803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F4-4E5C-B9F9-BE85CE4C0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728424"/>
        <c:axId val="938731704"/>
      </c:scatterChart>
      <c:valAx>
        <c:axId val="938728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převodový</a:t>
                </a:r>
                <a:r>
                  <a:rPr lang="cs-CZ" baseline="0"/>
                  <a:t> poměr </a:t>
                </a:r>
                <a:r>
                  <a:rPr lang="en-US"/>
                  <a:t>[</a:t>
                </a:r>
                <a:r>
                  <a:rPr lang="en-US" baseline="0"/>
                  <a:t> - ]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38731704"/>
        <c:crosses val="autoZero"/>
        <c:crossBetween val="midCat"/>
      </c:valAx>
      <c:valAx>
        <c:axId val="93873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</a:t>
                </a:r>
                <a:r>
                  <a:rPr lang="cs-CZ"/>
                  <a:t>xiální síla </a:t>
                </a:r>
                <a:r>
                  <a:rPr lang="en-US"/>
                  <a:t>[N]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38728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Ohybový</a:t>
            </a:r>
            <a:r>
              <a:rPr lang="cs-CZ" baseline="0"/>
              <a:t> moment v satelitu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1"/>
          <c:tx>
            <c:strRef>
              <c:f>Výpočet!$C$80</c:f>
              <c:strCache>
                <c:ptCount val="1"/>
                <c:pt idx="0">
                  <c:v>Moment od radiální složky Mor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Výpočet!$E$78:$O$78</c:f>
              <c:numCache>
                <c:formatCode>General</c:formatCode>
                <c:ptCount val="11"/>
                <c:pt idx="0">
                  <c:v>0.79999999999999982</c:v>
                </c:pt>
                <c:pt idx="1">
                  <c:v>0.94295227524972269</c:v>
                </c:pt>
                <c:pt idx="2">
                  <c:v>1.1023474178403756</c:v>
                </c:pt>
                <c:pt idx="3">
                  <c:v>1.2811955168119551</c:v>
                </c:pt>
                <c:pt idx="4">
                  <c:v>1.483289124668435</c:v>
                </c:pt>
                <c:pt idx="5">
                  <c:v>1.7134751773049643</c:v>
                </c:pt>
                <c:pt idx="6">
                  <c:v>1.9780487804878049</c:v>
                </c:pt>
                <c:pt idx="7">
                  <c:v>2.2853377265238879</c:v>
                </c:pt>
                <c:pt idx="8">
                  <c:v>2.6465949820788528</c:v>
                </c:pt>
                <c:pt idx="9">
                  <c:v>3.0774066797642443</c:v>
                </c:pt>
                <c:pt idx="10">
                  <c:v>3.6000000000000005</c:v>
                </c:pt>
              </c:numCache>
            </c:numRef>
          </c:xVal>
          <c:yVal>
            <c:numRef>
              <c:f>Výpočet!$E$80:$O$80</c:f>
              <c:numCache>
                <c:formatCode>General</c:formatCode>
                <c:ptCount val="11"/>
                <c:pt idx="0">
                  <c:v>363811.09959758306</c:v>
                </c:pt>
                <c:pt idx="1">
                  <c:v>322587.45477296854</c:v>
                </c:pt>
                <c:pt idx="2">
                  <c:v>269912.00559395592</c:v>
                </c:pt>
                <c:pt idx="3">
                  <c:v>205784.752060545</c:v>
                </c:pt>
                <c:pt idx="4">
                  <c:v>130205.69417273575</c:v>
                </c:pt>
                <c:pt idx="5">
                  <c:v>43174.831930528264</c:v>
                </c:pt>
                <c:pt idx="6">
                  <c:v>-55307.834666077491</c:v>
                </c:pt>
                <c:pt idx="7">
                  <c:v>-165242.30561708153</c:v>
                </c:pt>
                <c:pt idx="8">
                  <c:v>-286628.58092248376</c:v>
                </c:pt>
                <c:pt idx="9">
                  <c:v>-419466.66058228438</c:v>
                </c:pt>
                <c:pt idx="10">
                  <c:v>-563756.544596483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8BA-4E02-BCA5-3F9ABA02B4BF}"/>
            </c:ext>
          </c:extLst>
        </c:ser>
        <c:ser>
          <c:idx val="2"/>
          <c:order val="2"/>
          <c:tx>
            <c:strRef>
              <c:f>Výpočet!$C$81</c:f>
              <c:strCache>
                <c:ptCount val="1"/>
                <c:pt idx="0">
                  <c:v>Mometn od axiální složky Moa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Výpočet!$E$78:$O$78</c:f>
              <c:numCache>
                <c:formatCode>General</c:formatCode>
                <c:ptCount val="11"/>
                <c:pt idx="0">
                  <c:v>0.79999999999999982</c:v>
                </c:pt>
                <c:pt idx="1">
                  <c:v>0.94295227524972269</c:v>
                </c:pt>
                <c:pt idx="2">
                  <c:v>1.1023474178403756</c:v>
                </c:pt>
                <c:pt idx="3">
                  <c:v>1.2811955168119551</c:v>
                </c:pt>
                <c:pt idx="4">
                  <c:v>1.483289124668435</c:v>
                </c:pt>
                <c:pt idx="5">
                  <c:v>1.7134751773049643</c:v>
                </c:pt>
                <c:pt idx="6">
                  <c:v>1.9780487804878049</c:v>
                </c:pt>
                <c:pt idx="7">
                  <c:v>2.2853377265238879</c:v>
                </c:pt>
                <c:pt idx="8">
                  <c:v>2.6465949820788528</c:v>
                </c:pt>
                <c:pt idx="9">
                  <c:v>3.0774066797642443</c:v>
                </c:pt>
                <c:pt idx="10">
                  <c:v>3.6000000000000005</c:v>
                </c:pt>
              </c:numCache>
            </c:numRef>
          </c:xVal>
          <c:yVal>
            <c:numRef>
              <c:f>Výpočet!$E$81:$O$81</c:f>
              <c:numCache>
                <c:formatCode>General</c:formatCode>
                <c:ptCount val="11"/>
                <c:pt idx="0">
                  <c:v>26120.415532384191</c:v>
                </c:pt>
                <c:pt idx="1">
                  <c:v>23160.696233634393</c:v>
                </c:pt>
                <c:pt idx="2">
                  <c:v>19378.775829246777</c:v>
                </c:pt>
                <c:pt idx="3">
                  <c:v>14774.654319221323</c:v>
                </c:pt>
                <c:pt idx="4">
                  <c:v>9348.3317035580276</c:v>
                </c:pt>
                <c:pt idx="5">
                  <c:v>3099.8079822568984</c:v>
                </c:pt>
                <c:pt idx="6">
                  <c:v>-3970.9168446820659</c:v>
                </c:pt>
                <c:pt idx="7">
                  <c:v>-11863.842777258866</c:v>
                </c:pt>
                <c:pt idx="8">
                  <c:v>-20578.969815473498</c:v>
                </c:pt>
                <c:pt idx="9">
                  <c:v>-30116.29795932597</c:v>
                </c:pt>
                <c:pt idx="10">
                  <c:v>-40475.827208816263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8BA-4E02-BCA5-3F9ABA02B4BF}"/>
            </c:ext>
          </c:extLst>
        </c:ser>
        <c:ser>
          <c:idx val="3"/>
          <c:order val="3"/>
          <c:tx>
            <c:strRef>
              <c:f>Výpočet!$C$82</c:f>
              <c:strCache>
                <c:ptCount val="1"/>
                <c:pt idx="0">
                  <c:v>Moment od obvodových sil Moo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Výpočet!$E$78:$O$78</c:f>
              <c:numCache>
                <c:formatCode>General</c:formatCode>
                <c:ptCount val="11"/>
                <c:pt idx="0">
                  <c:v>0.79999999999999982</c:v>
                </c:pt>
                <c:pt idx="1">
                  <c:v>0.94295227524972269</c:v>
                </c:pt>
                <c:pt idx="2">
                  <c:v>1.1023474178403756</c:v>
                </c:pt>
                <c:pt idx="3">
                  <c:v>1.2811955168119551</c:v>
                </c:pt>
                <c:pt idx="4">
                  <c:v>1.483289124668435</c:v>
                </c:pt>
                <c:pt idx="5">
                  <c:v>1.7134751773049643</c:v>
                </c:pt>
                <c:pt idx="6">
                  <c:v>1.9780487804878049</c:v>
                </c:pt>
                <c:pt idx="7">
                  <c:v>2.2853377265238879</c:v>
                </c:pt>
                <c:pt idx="8">
                  <c:v>2.6465949820788528</c:v>
                </c:pt>
                <c:pt idx="9">
                  <c:v>3.0774066797642443</c:v>
                </c:pt>
                <c:pt idx="10">
                  <c:v>3.6000000000000005</c:v>
                </c:pt>
              </c:numCache>
            </c:numRef>
          </c:xVal>
          <c:yVal>
            <c:numRef>
              <c:f>Výpočet!$E$82:$O$82</c:f>
              <c:numCache>
                <c:formatCode>0.00</c:formatCode>
                <c:ptCount val="11"/>
                <c:pt idx="0">
                  <c:v>29383.94911339588</c:v>
                </c:pt>
                <c:pt idx="1">
                  <c:v>27503.570562470246</c:v>
                </c:pt>
                <c:pt idx="2">
                  <c:v>26149.603376105697</c:v>
                </c:pt>
                <c:pt idx="3">
                  <c:v>25418.414267366381</c:v>
                </c:pt>
                <c:pt idx="4">
                  <c:v>25431.420182420592</c:v>
                </c:pt>
                <c:pt idx="5">
                  <c:v>26343.793700697614</c:v>
                </c:pt>
                <c:pt idx="6">
                  <c:v>28357.069940602578</c:v>
                </c:pt>
                <c:pt idx="7">
                  <c:v>31737.859610668096</c:v>
                </c:pt>
                <c:pt idx="8">
                  <c:v>36846.42162529131</c:v>
                </c:pt>
                <c:pt idx="9">
                  <c:v>44181.739353136254</c:v>
                </c:pt>
                <c:pt idx="10">
                  <c:v>54455.406467775916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8BA-4E02-BCA5-3F9ABA02B4BF}"/>
            </c:ext>
          </c:extLst>
        </c:ser>
        <c:ser>
          <c:idx val="4"/>
          <c:order val="4"/>
          <c:tx>
            <c:strRef>
              <c:f>Výpočet!$C$83</c:f>
              <c:strCache>
                <c:ptCount val="1"/>
                <c:pt idx="0">
                  <c:v>Výsledný ohybový moment Mo1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Výpočet!$E$78:$O$78</c:f>
              <c:numCache>
                <c:formatCode>General</c:formatCode>
                <c:ptCount val="11"/>
                <c:pt idx="0">
                  <c:v>0.79999999999999982</c:v>
                </c:pt>
                <c:pt idx="1">
                  <c:v>0.94295227524972269</c:v>
                </c:pt>
                <c:pt idx="2">
                  <c:v>1.1023474178403756</c:v>
                </c:pt>
                <c:pt idx="3">
                  <c:v>1.2811955168119551</c:v>
                </c:pt>
                <c:pt idx="4">
                  <c:v>1.483289124668435</c:v>
                </c:pt>
                <c:pt idx="5">
                  <c:v>1.7134751773049643</c:v>
                </c:pt>
                <c:pt idx="6">
                  <c:v>1.9780487804878049</c:v>
                </c:pt>
                <c:pt idx="7">
                  <c:v>2.2853377265238879</c:v>
                </c:pt>
                <c:pt idx="8">
                  <c:v>2.6465949820788528</c:v>
                </c:pt>
                <c:pt idx="9">
                  <c:v>3.0774066797642443</c:v>
                </c:pt>
                <c:pt idx="10">
                  <c:v>3.6000000000000005</c:v>
                </c:pt>
              </c:numCache>
            </c:numRef>
          </c:xVal>
          <c:yVal>
            <c:numRef>
              <c:f>Výpočet!$E$83:$O$83</c:f>
              <c:numCache>
                <c:formatCode>0.000</c:formatCode>
                <c:ptCount val="11"/>
                <c:pt idx="0">
                  <c:v>391037.08642154455</c:v>
                </c:pt>
                <c:pt idx="1">
                  <c:v>346840.35278232762</c:v>
                </c:pt>
                <c:pt idx="2">
                  <c:v>290470.23595056153</c:v>
                </c:pt>
                <c:pt idx="3">
                  <c:v>222019.25035109537</c:v>
                </c:pt>
                <c:pt idx="4">
                  <c:v>141852.329098877</c:v>
                </c:pt>
                <c:pt idx="5">
                  <c:v>53247.889776054457</c:v>
                </c:pt>
                <c:pt idx="6">
                  <c:v>65712.20431769584</c:v>
                </c:pt>
                <c:pt idx="7">
                  <c:v>179927.42851423347</c:v>
                </c:pt>
                <c:pt idx="8">
                  <c:v>309409.33731386211</c:v>
                </c:pt>
                <c:pt idx="9">
                  <c:v>451748.67205482273</c:v>
                </c:pt>
                <c:pt idx="10">
                  <c:v>606681.25933724712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8BA-4E02-BCA5-3F9ABA02B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9257544"/>
        <c:axId val="134926115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Výpočet!$C$79</c15:sqref>
                        </c15:formulaRef>
                      </c:ext>
                    </c:extLst>
                    <c:strCache>
                      <c:ptCount val="1"/>
                      <c:pt idx="0">
                        <c:v>Vzdálenost planetového a korunového kola Lkol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Výpočet!$E$78:$O$78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0.79999999999999982</c:v>
                      </c:pt>
                      <c:pt idx="1">
                        <c:v>0.94295227524972269</c:v>
                      </c:pt>
                      <c:pt idx="2">
                        <c:v>1.1023474178403756</c:v>
                      </c:pt>
                      <c:pt idx="3">
                        <c:v>1.2811955168119551</c:v>
                      </c:pt>
                      <c:pt idx="4">
                        <c:v>1.483289124668435</c:v>
                      </c:pt>
                      <c:pt idx="5">
                        <c:v>1.7134751773049643</c:v>
                      </c:pt>
                      <c:pt idx="6">
                        <c:v>1.9780487804878049</c:v>
                      </c:pt>
                      <c:pt idx="7">
                        <c:v>2.2853377265238879</c:v>
                      </c:pt>
                      <c:pt idx="8">
                        <c:v>2.6465949820788528</c:v>
                      </c:pt>
                      <c:pt idx="9">
                        <c:v>3.0774066797642443</c:v>
                      </c:pt>
                      <c:pt idx="10">
                        <c:v>3.6000000000000005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Výpočet!$E$79:$O$79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105.87675243109416</c:v>
                      </c:pt>
                      <c:pt idx="1">
                        <c:v>86.459822862444355</c:v>
                      </c:pt>
                      <c:pt idx="2">
                        <c:v>67.042893293794592</c:v>
                      </c:pt>
                      <c:pt idx="3">
                        <c:v>47.625963725144821</c:v>
                      </c:pt>
                      <c:pt idx="4">
                        <c:v>28.209034156495036</c:v>
                      </c:pt>
                      <c:pt idx="5">
                        <c:v>8.79210458784525</c:v>
                      </c:pt>
                      <c:pt idx="6">
                        <c:v>-10.624824980804535</c:v>
                      </c:pt>
                      <c:pt idx="7">
                        <c:v>-30.041754549454321</c:v>
                      </c:pt>
                      <c:pt idx="8">
                        <c:v>-49.458684118104102</c:v>
                      </c:pt>
                      <c:pt idx="9">
                        <c:v>-68.875613686753894</c:v>
                      </c:pt>
                      <c:pt idx="10">
                        <c:v>-88.292543255403672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0-D8BA-4E02-BCA5-3F9ABA02B4BF}"/>
                  </c:ext>
                </c:extLst>
              </c15:ser>
            </c15:filteredScatterSeries>
          </c:ext>
        </c:extLst>
      </c:scatterChart>
      <c:valAx>
        <c:axId val="1349257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</a:t>
                </a:r>
                <a:r>
                  <a:rPr lang="cs-CZ"/>
                  <a:t>řevodový</a:t>
                </a:r>
                <a:r>
                  <a:rPr lang="cs-CZ" baseline="0"/>
                  <a:t> poměr </a:t>
                </a:r>
                <a:r>
                  <a:rPr lang="en-US" baseline="0"/>
                  <a:t>[-]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49261152"/>
        <c:crosses val="autoZero"/>
        <c:crossBetween val="midCat"/>
      </c:valAx>
      <c:valAx>
        <c:axId val="134926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Ohybový moment </a:t>
                </a:r>
                <a:r>
                  <a:rPr lang="en-US"/>
                  <a:t>[Nmm]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349257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38899</xdr:colOff>
      <xdr:row>52</xdr:row>
      <xdr:rowOff>168090</xdr:rowOff>
    </xdr:from>
    <xdr:to>
      <xdr:col>23</xdr:col>
      <xdr:colOff>582706</xdr:colOff>
      <xdr:row>64</xdr:row>
      <xdr:rowOff>168089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4E6708DF-35DA-453B-B817-EC25F8B647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24840</xdr:colOff>
      <xdr:row>30</xdr:row>
      <xdr:rowOff>79746</xdr:rowOff>
    </xdr:from>
    <xdr:to>
      <xdr:col>23</xdr:col>
      <xdr:colOff>571501</xdr:colOff>
      <xdr:row>50</xdr:row>
      <xdr:rowOff>100853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CB827A-7B97-4C6F-A89C-4500E15E3D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1030941</xdr:colOff>
      <xdr:row>99</xdr:row>
      <xdr:rowOff>76386</xdr:rowOff>
    </xdr:from>
    <xdr:to>
      <xdr:col>12</xdr:col>
      <xdr:colOff>179295</xdr:colOff>
      <xdr:row>121</xdr:row>
      <xdr:rowOff>134471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C9E4DDB-C8DF-45FB-8FCE-E6D3EE4A67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DF8BE-A869-405C-915E-AB97CDB82400}">
  <dimension ref="A1:N53"/>
  <sheetViews>
    <sheetView topLeftCell="A22" zoomScale="190" zoomScaleNormal="190" workbookViewId="0">
      <selection activeCell="D5" sqref="D5"/>
    </sheetView>
  </sheetViews>
  <sheetFormatPr defaultRowHeight="14.5" x14ac:dyDescent="0.35"/>
  <cols>
    <col min="1" max="1" width="19.1796875" customWidth="1"/>
    <col min="2" max="14" width="5.1796875" customWidth="1"/>
  </cols>
  <sheetData>
    <row r="1" spans="1:14" ht="10" customHeight="1" thickBot="1" x14ac:dyDescent="0.4">
      <c r="A1" s="65" t="s">
        <v>169</v>
      </c>
      <c r="B1" s="64" t="s">
        <v>168</v>
      </c>
      <c r="C1" s="63" t="s">
        <v>167</v>
      </c>
      <c r="D1" s="75" t="s">
        <v>166</v>
      </c>
      <c r="E1" s="76"/>
      <c r="F1" s="76"/>
      <c r="G1" s="76"/>
      <c r="H1" s="76"/>
      <c r="I1" s="76"/>
      <c r="J1" s="76"/>
      <c r="K1" s="76"/>
      <c r="L1" s="76"/>
      <c r="M1" s="76"/>
      <c r="N1" s="77"/>
    </row>
    <row r="2" spans="1:14" ht="10" customHeight="1" x14ac:dyDescent="0.35">
      <c r="A2" s="62" t="s">
        <v>165</v>
      </c>
      <c r="B2" s="61" t="s">
        <v>164</v>
      </c>
      <c r="C2" s="60" t="s">
        <v>81</v>
      </c>
      <c r="D2" s="59">
        <v>0.79999999999999982</v>
      </c>
      <c r="E2" s="58">
        <v>0.94295227524972269</v>
      </c>
      <c r="F2" s="58">
        <v>1.1023474178403756</v>
      </c>
      <c r="G2" s="58">
        <v>1.2811955168119551</v>
      </c>
      <c r="H2" s="58">
        <v>1.483289124668435</v>
      </c>
      <c r="I2" s="58">
        <v>1.7134751773049643</v>
      </c>
      <c r="J2" s="58">
        <v>1.9780487804878049</v>
      </c>
      <c r="K2" s="58">
        <v>2.2853377265238879</v>
      </c>
      <c r="L2" s="58">
        <v>2.6465949820788528</v>
      </c>
      <c r="M2" s="58">
        <v>3.0774066797642443</v>
      </c>
      <c r="N2" s="57">
        <v>3.6000000000000005</v>
      </c>
    </row>
    <row r="3" spans="1:14" ht="10" customHeight="1" x14ac:dyDescent="0.35">
      <c r="A3" s="34" t="s">
        <v>163</v>
      </c>
      <c r="B3" s="35" t="s">
        <v>162</v>
      </c>
      <c r="C3" s="32" t="s">
        <v>98</v>
      </c>
      <c r="D3" s="41">
        <v>175</v>
      </c>
      <c r="E3" s="40">
        <v>175</v>
      </c>
      <c r="F3" s="40">
        <v>175</v>
      </c>
      <c r="G3" s="40">
        <v>175</v>
      </c>
      <c r="H3" s="40">
        <v>175</v>
      </c>
      <c r="I3" s="40">
        <v>175</v>
      </c>
      <c r="J3" s="40">
        <v>175</v>
      </c>
      <c r="K3" s="40">
        <v>175</v>
      </c>
      <c r="L3" s="40">
        <v>175</v>
      </c>
      <c r="M3" s="40">
        <v>175</v>
      </c>
      <c r="N3" s="39">
        <v>175</v>
      </c>
    </row>
    <row r="4" spans="1:14" ht="10" customHeight="1" x14ac:dyDescent="0.35">
      <c r="A4" s="34" t="s">
        <v>161</v>
      </c>
      <c r="B4" s="35" t="s">
        <v>160</v>
      </c>
      <c r="C4" s="32" t="s">
        <v>98</v>
      </c>
      <c r="D4" s="41">
        <v>-320</v>
      </c>
      <c r="E4" s="40">
        <v>-320</v>
      </c>
      <c r="F4" s="40">
        <v>-320</v>
      </c>
      <c r="G4" s="40">
        <v>-320</v>
      </c>
      <c r="H4" s="40">
        <v>-320</v>
      </c>
      <c r="I4" s="40">
        <v>-320</v>
      </c>
      <c r="J4" s="40">
        <v>-320</v>
      </c>
      <c r="K4" s="40">
        <v>-320</v>
      </c>
      <c r="L4" s="40">
        <v>-320</v>
      </c>
      <c r="M4" s="40">
        <v>-320</v>
      </c>
      <c r="N4" s="39">
        <v>-320</v>
      </c>
    </row>
    <row r="5" spans="1:14" ht="10" customHeight="1" x14ac:dyDescent="0.35">
      <c r="A5" s="34" t="s">
        <v>159</v>
      </c>
      <c r="B5" s="35" t="s">
        <v>158</v>
      </c>
      <c r="C5" s="32" t="s">
        <v>98</v>
      </c>
      <c r="D5" s="41">
        <v>44.130434782608695</v>
      </c>
      <c r="E5" s="40">
        <v>49.333180778032037</v>
      </c>
      <c r="F5" s="40">
        <v>54.53592677345538</v>
      </c>
      <c r="G5" s="40">
        <v>59.738672768878715</v>
      </c>
      <c r="H5" s="40">
        <v>64.941418764302057</v>
      </c>
      <c r="I5" s="40">
        <v>70.144164759725399</v>
      </c>
      <c r="J5" s="40">
        <v>75.346910755148741</v>
      </c>
      <c r="K5" s="40">
        <v>80.549656750572083</v>
      </c>
      <c r="L5" s="40">
        <v>85.752402745995425</v>
      </c>
      <c r="M5" s="40">
        <v>90.955148741418768</v>
      </c>
      <c r="N5" s="39">
        <v>96.15789473684211</v>
      </c>
    </row>
    <row r="6" spans="1:14" ht="10" customHeight="1" x14ac:dyDescent="0.35">
      <c r="A6" s="34" t="s">
        <v>157</v>
      </c>
      <c r="B6" s="35" t="s">
        <v>156</v>
      </c>
      <c r="C6" s="32" t="s">
        <v>98</v>
      </c>
      <c r="D6" s="41">
        <v>100.86956521739131</v>
      </c>
      <c r="E6" s="40">
        <v>95.666819221967955</v>
      </c>
      <c r="F6" s="40">
        <v>90.464073226544627</v>
      </c>
      <c r="G6" s="40">
        <v>85.261327231121285</v>
      </c>
      <c r="H6" s="40">
        <v>80.058581235697943</v>
      </c>
      <c r="I6" s="40">
        <v>74.855835240274601</v>
      </c>
      <c r="J6" s="40">
        <v>69.653089244851259</v>
      </c>
      <c r="K6" s="40">
        <v>64.450343249427917</v>
      </c>
      <c r="L6" s="40">
        <v>59.247597254004575</v>
      </c>
      <c r="M6" s="40">
        <v>54.044851258581232</v>
      </c>
      <c r="N6" s="39">
        <v>48.84210526315789</v>
      </c>
    </row>
    <row r="7" spans="1:14" ht="10" customHeight="1" x14ac:dyDescent="0.35">
      <c r="A7" s="34" t="s">
        <v>155</v>
      </c>
      <c r="B7" s="35" t="s">
        <v>154</v>
      </c>
      <c r="C7" s="32" t="s">
        <v>98</v>
      </c>
      <c r="D7" s="41">
        <v>109.56521739130434</v>
      </c>
      <c r="E7" s="40">
        <v>112.16659038901602</v>
      </c>
      <c r="F7" s="40">
        <v>114.76796338672769</v>
      </c>
      <c r="G7" s="40">
        <v>117.36933638443935</v>
      </c>
      <c r="H7" s="40">
        <v>119.97070938215103</v>
      </c>
      <c r="I7" s="40">
        <v>122.57208237986271</v>
      </c>
      <c r="J7" s="40">
        <v>125.17345537757437</v>
      </c>
      <c r="K7" s="40">
        <v>127.77482837528603</v>
      </c>
      <c r="L7" s="40">
        <v>130.37620137299771</v>
      </c>
      <c r="M7" s="40">
        <v>132.97757437070939</v>
      </c>
      <c r="N7" s="39">
        <v>135.57894736842104</v>
      </c>
    </row>
    <row r="8" spans="1:14" ht="10" customHeight="1" x14ac:dyDescent="0.35">
      <c r="A8" s="34" t="s">
        <v>153</v>
      </c>
      <c r="B8" s="35" t="s">
        <v>152</v>
      </c>
      <c r="C8" s="32" t="s">
        <v>98</v>
      </c>
      <c r="D8" s="41">
        <v>0</v>
      </c>
      <c r="E8" s="40">
        <v>9.7084561968977408</v>
      </c>
      <c r="F8" s="40">
        <v>19.416912393795428</v>
      </c>
      <c r="G8" s="40">
        <v>29.125368590693114</v>
      </c>
      <c r="H8" s="40">
        <v>38.833824787590856</v>
      </c>
      <c r="I8" s="40">
        <v>48.542280984488599</v>
      </c>
      <c r="J8" s="40">
        <v>58.250737181386285</v>
      </c>
      <c r="K8" s="40">
        <v>67.95919337828397</v>
      </c>
      <c r="L8" s="40">
        <v>77.667649575181713</v>
      </c>
      <c r="M8" s="40">
        <v>87.376105772079455</v>
      </c>
      <c r="N8" s="39">
        <v>97.084561968977084</v>
      </c>
    </row>
    <row r="9" spans="1:14" ht="10" customHeight="1" thickBot="1" x14ac:dyDescent="0.4">
      <c r="A9" s="31" t="s">
        <v>151</v>
      </c>
      <c r="B9" s="30" t="s">
        <v>150</v>
      </c>
      <c r="C9" s="29" t="s">
        <v>81</v>
      </c>
      <c r="D9" s="41">
        <v>-0.79999999999999982</v>
      </c>
      <c r="E9" s="40">
        <v>-0.94295227524972269</v>
      </c>
      <c r="F9" s="40">
        <v>-1.1023474178403756</v>
      </c>
      <c r="G9" s="40">
        <v>-1.2811955168119551</v>
      </c>
      <c r="H9" s="40">
        <v>-1.483289124668435</v>
      </c>
      <c r="I9" s="40">
        <v>-1.7134751773049643</v>
      </c>
      <c r="J9" s="40">
        <v>-1.9780487804878049</v>
      </c>
      <c r="K9" s="40">
        <v>-2.2853377265238879</v>
      </c>
      <c r="L9" s="40">
        <v>-2.6465949820788528</v>
      </c>
      <c r="M9" s="40">
        <v>-3.0774066797642443</v>
      </c>
      <c r="N9" s="39">
        <v>-3.6000000000000005</v>
      </c>
    </row>
    <row r="10" spans="1:14" ht="10" customHeight="1" thickBot="1" x14ac:dyDescent="0.4">
      <c r="A10" s="56"/>
      <c r="B10" s="55"/>
      <c r="C10" s="54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2"/>
    </row>
    <row r="11" spans="1:14" ht="10" customHeight="1" x14ac:dyDescent="0.35">
      <c r="A11" s="37" t="s">
        <v>149</v>
      </c>
      <c r="B11" s="51" t="s">
        <v>148</v>
      </c>
      <c r="C11" s="36" t="s">
        <v>143</v>
      </c>
      <c r="D11" s="41">
        <v>1450</v>
      </c>
      <c r="E11" s="40">
        <v>1450</v>
      </c>
      <c r="F11" s="40">
        <v>1450</v>
      </c>
      <c r="G11" s="40">
        <v>1450</v>
      </c>
      <c r="H11" s="40">
        <v>1450</v>
      </c>
      <c r="I11" s="40">
        <v>1450</v>
      </c>
      <c r="J11" s="40">
        <v>1450</v>
      </c>
      <c r="K11" s="40">
        <v>1450</v>
      </c>
      <c r="L11" s="40">
        <v>1450</v>
      </c>
      <c r="M11" s="40">
        <v>1450</v>
      </c>
      <c r="N11" s="39">
        <v>1450</v>
      </c>
    </row>
    <row r="12" spans="1:14" ht="10" customHeight="1" x14ac:dyDescent="0.35">
      <c r="A12" s="34" t="s">
        <v>147</v>
      </c>
      <c r="B12" s="35" t="s">
        <v>146</v>
      </c>
      <c r="C12" s="32" t="s">
        <v>143</v>
      </c>
      <c r="D12" s="41">
        <v>1812.5000000000005</v>
      </c>
      <c r="E12" s="40">
        <v>1537.7236346516004</v>
      </c>
      <c r="F12" s="40">
        <v>1315.3747870528109</v>
      </c>
      <c r="G12" s="40">
        <v>1131.7554432348368</v>
      </c>
      <c r="H12" s="40">
        <v>977.5572246065808</v>
      </c>
      <c r="I12" s="40">
        <v>846.23344370860934</v>
      </c>
      <c r="J12" s="40">
        <v>733.04562268803943</v>
      </c>
      <c r="K12" s="40">
        <v>634.47952710495963</v>
      </c>
      <c r="L12" s="40">
        <v>547.87378114842909</v>
      </c>
      <c r="M12" s="40">
        <v>471.17594484167506</v>
      </c>
      <c r="N12" s="39">
        <v>402.77777777777771</v>
      </c>
    </row>
    <row r="13" spans="1:14" ht="10" customHeight="1" x14ac:dyDescent="0.35">
      <c r="A13" s="34" t="s">
        <v>145</v>
      </c>
      <c r="B13" s="35" t="s">
        <v>144</v>
      </c>
      <c r="C13" s="32" t="s">
        <v>143</v>
      </c>
      <c r="D13" s="41">
        <v>5750</v>
      </c>
      <c r="E13" s="40">
        <v>5143.5969868173261</v>
      </c>
      <c r="F13" s="40">
        <v>4652.8960817717207</v>
      </c>
      <c r="G13" s="40">
        <v>4247.667185069985</v>
      </c>
      <c r="H13" s="40">
        <v>3907.3676680972821</v>
      </c>
      <c r="I13" s="40">
        <v>3617.5496688741723</v>
      </c>
      <c r="J13" s="40">
        <v>3367.7558569667076</v>
      </c>
      <c r="K13" s="40">
        <v>3150.2306805074973</v>
      </c>
      <c r="L13" s="40">
        <v>2959.1007583965329</v>
      </c>
      <c r="M13" s="40">
        <v>2789.8365679264552</v>
      </c>
      <c r="N13" s="39">
        <v>2638</v>
      </c>
    </row>
    <row r="14" spans="1:14" ht="10" customHeight="1" x14ac:dyDescent="0.35">
      <c r="A14" s="34" t="s">
        <v>142</v>
      </c>
      <c r="B14" s="35" t="s">
        <v>141</v>
      </c>
      <c r="C14" s="32" t="s">
        <v>138</v>
      </c>
      <c r="D14" s="41">
        <v>13.286318930806834</v>
      </c>
      <c r="E14" s="40">
        <v>13.286318930806834</v>
      </c>
      <c r="F14" s="40">
        <v>13.286318930806834</v>
      </c>
      <c r="G14" s="40">
        <v>13.286318930806834</v>
      </c>
      <c r="H14" s="40">
        <v>13.286318930806834</v>
      </c>
      <c r="I14" s="40">
        <v>13.286318930806834</v>
      </c>
      <c r="J14" s="40">
        <v>13.286318930806834</v>
      </c>
      <c r="K14" s="40">
        <v>13.286318930806834</v>
      </c>
      <c r="L14" s="40">
        <v>13.286318930806834</v>
      </c>
      <c r="M14" s="40">
        <v>13.286318930806834</v>
      </c>
      <c r="N14" s="39">
        <v>13.286318930806834</v>
      </c>
    </row>
    <row r="15" spans="1:14" ht="10" customHeight="1" x14ac:dyDescent="0.35">
      <c r="A15" s="34" t="s">
        <v>140</v>
      </c>
      <c r="B15" s="35" t="s">
        <v>139</v>
      </c>
      <c r="C15" s="32" t="s">
        <v>138</v>
      </c>
      <c r="D15" s="41">
        <v>30.368728984701345</v>
      </c>
      <c r="E15" s="40">
        <v>25.764806793988605</v>
      </c>
      <c r="F15" s="40">
        <v>22.039316094519201</v>
      </c>
      <c r="G15" s="40">
        <v>18.96274445934306</v>
      </c>
      <c r="H15" s="40">
        <v>16.379128508200864</v>
      </c>
      <c r="I15" s="40">
        <v>14.178777439877114</v>
      </c>
      <c r="J15" s="40">
        <v>12.282297295908801</v>
      </c>
      <c r="K15" s="40">
        <v>10.630806513099026</v>
      </c>
      <c r="L15" s="40">
        <v>9.1797133117352914</v>
      </c>
      <c r="M15" s="40">
        <v>7.8946287299351257</v>
      </c>
      <c r="N15" s="39">
        <v>6.7486064410447408</v>
      </c>
    </row>
    <row r="16" spans="1:14" ht="10" customHeight="1" x14ac:dyDescent="0.35">
      <c r="A16" s="34" t="s">
        <v>137</v>
      </c>
      <c r="B16" s="35" t="s">
        <v>136</v>
      </c>
      <c r="C16" s="32" t="s">
        <v>98</v>
      </c>
      <c r="D16" s="41">
        <v>200</v>
      </c>
      <c r="E16" s="40">
        <v>200</v>
      </c>
      <c r="F16" s="40">
        <v>200</v>
      </c>
      <c r="G16" s="40">
        <v>200</v>
      </c>
      <c r="H16" s="40">
        <v>200</v>
      </c>
      <c r="I16" s="40">
        <v>200</v>
      </c>
      <c r="J16" s="40">
        <v>200</v>
      </c>
      <c r="K16" s="40">
        <v>200</v>
      </c>
      <c r="L16" s="40">
        <v>200</v>
      </c>
      <c r="M16" s="40">
        <v>200</v>
      </c>
      <c r="N16" s="39">
        <v>200</v>
      </c>
    </row>
    <row r="17" spans="1:14" ht="10" customHeight="1" thickBot="1" x14ac:dyDescent="0.4">
      <c r="A17" s="31" t="s">
        <v>135</v>
      </c>
      <c r="B17" s="30" t="s">
        <v>134</v>
      </c>
      <c r="C17" s="29" t="s">
        <v>98</v>
      </c>
      <c r="D17" s="41">
        <v>200</v>
      </c>
      <c r="E17" s="40">
        <v>200</v>
      </c>
      <c r="F17" s="40">
        <v>200</v>
      </c>
      <c r="G17" s="40">
        <v>200</v>
      </c>
      <c r="H17" s="40">
        <v>200</v>
      </c>
      <c r="I17" s="40">
        <v>200</v>
      </c>
      <c r="J17" s="40">
        <v>200</v>
      </c>
      <c r="K17" s="40">
        <v>200</v>
      </c>
      <c r="L17" s="40">
        <v>200</v>
      </c>
      <c r="M17" s="40">
        <v>200</v>
      </c>
      <c r="N17" s="39">
        <v>200</v>
      </c>
    </row>
    <row r="18" spans="1:14" ht="10" customHeight="1" thickBot="1" x14ac:dyDescent="0.4">
      <c r="A18" s="78"/>
      <c r="B18" s="79"/>
      <c r="C18" s="86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</row>
    <row r="19" spans="1:14" ht="10" customHeight="1" thickBot="1" x14ac:dyDescent="0.4">
      <c r="A19" s="45" t="s">
        <v>133</v>
      </c>
      <c r="B19" s="44"/>
      <c r="C19" s="87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</row>
    <row r="20" spans="1:14" ht="10" customHeight="1" x14ac:dyDescent="0.35">
      <c r="A20" s="34" t="s">
        <v>132</v>
      </c>
      <c r="B20" s="33" t="s">
        <v>131</v>
      </c>
      <c r="C20" s="36" t="s">
        <v>107</v>
      </c>
      <c r="D20" s="83">
        <v>1555</v>
      </c>
      <c r="E20" s="84"/>
      <c r="F20" s="84"/>
      <c r="G20" s="84"/>
      <c r="H20" s="84"/>
      <c r="I20" s="84"/>
      <c r="J20" s="84"/>
      <c r="K20" s="84"/>
      <c r="L20" s="84"/>
      <c r="M20" s="84"/>
      <c r="N20" s="85"/>
    </row>
    <row r="21" spans="1:14" ht="10" customHeight="1" x14ac:dyDescent="0.35">
      <c r="A21" s="34" t="s">
        <v>130</v>
      </c>
      <c r="B21" s="35" t="s">
        <v>129</v>
      </c>
      <c r="C21" s="32" t="s">
        <v>107</v>
      </c>
      <c r="D21" s="50">
        <v>206000</v>
      </c>
      <c r="E21" s="49">
        <v>206000</v>
      </c>
      <c r="F21" s="49">
        <v>206000</v>
      </c>
      <c r="G21" s="49">
        <v>206000</v>
      </c>
      <c r="H21" s="49">
        <v>206000</v>
      </c>
      <c r="I21" s="49">
        <v>206000</v>
      </c>
      <c r="J21" s="49">
        <v>206000</v>
      </c>
      <c r="K21" s="49">
        <v>206000</v>
      </c>
      <c r="L21" s="49">
        <v>206000</v>
      </c>
      <c r="M21" s="49">
        <v>206000</v>
      </c>
      <c r="N21" s="48">
        <v>206000</v>
      </c>
    </row>
    <row r="22" spans="1:14" ht="10" customHeight="1" x14ac:dyDescent="0.35">
      <c r="A22" s="34" t="s">
        <v>124</v>
      </c>
      <c r="B22" s="35" t="s">
        <v>123</v>
      </c>
      <c r="C22" s="32" t="s">
        <v>107</v>
      </c>
      <c r="D22" s="50">
        <v>206000</v>
      </c>
      <c r="E22" s="49">
        <v>206000</v>
      </c>
      <c r="F22" s="49">
        <v>206000</v>
      </c>
      <c r="G22" s="49">
        <v>206000</v>
      </c>
      <c r="H22" s="49">
        <v>206000</v>
      </c>
      <c r="I22" s="49">
        <v>206000</v>
      </c>
      <c r="J22" s="49">
        <v>206000</v>
      </c>
      <c r="K22" s="49">
        <v>206000</v>
      </c>
      <c r="L22" s="49">
        <v>206000</v>
      </c>
      <c r="M22" s="49">
        <v>206000</v>
      </c>
      <c r="N22" s="48">
        <v>206000</v>
      </c>
    </row>
    <row r="23" spans="1:14" ht="10" customHeight="1" x14ac:dyDescent="0.35">
      <c r="A23" s="34" t="s">
        <v>128</v>
      </c>
      <c r="B23" s="35" t="s">
        <v>127</v>
      </c>
      <c r="C23" s="32" t="s">
        <v>81</v>
      </c>
      <c r="D23" s="41">
        <v>0.3</v>
      </c>
      <c r="E23" s="40">
        <v>0.3</v>
      </c>
      <c r="F23" s="40">
        <v>0.3</v>
      </c>
      <c r="G23" s="40">
        <v>0.3</v>
      </c>
      <c r="H23" s="40">
        <v>0.3</v>
      </c>
      <c r="I23" s="40">
        <v>0.3</v>
      </c>
      <c r="J23" s="40">
        <v>0.3</v>
      </c>
      <c r="K23" s="40">
        <v>0.3</v>
      </c>
      <c r="L23" s="40">
        <v>0.3</v>
      </c>
      <c r="M23" s="40">
        <v>0.3</v>
      </c>
      <c r="N23" s="39">
        <v>0.3</v>
      </c>
    </row>
    <row r="24" spans="1:14" ht="10" customHeight="1" x14ac:dyDescent="0.35">
      <c r="A24" s="34" t="s">
        <v>120</v>
      </c>
      <c r="B24" s="35" t="s">
        <v>119</v>
      </c>
      <c r="C24" s="32" t="s">
        <v>81</v>
      </c>
      <c r="D24" s="41">
        <v>0.3</v>
      </c>
      <c r="E24" s="40">
        <v>0.3</v>
      </c>
      <c r="F24" s="40">
        <v>0.3</v>
      </c>
      <c r="G24" s="40">
        <v>0.3</v>
      </c>
      <c r="H24" s="40">
        <v>0.3</v>
      </c>
      <c r="I24" s="40">
        <v>0.3</v>
      </c>
      <c r="J24" s="40">
        <v>0.3</v>
      </c>
      <c r="K24" s="40">
        <v>0.3</v>
      </c>
      <c r="L24" s="40">
        <v>0.3</v>
      </c>
      <c r="M24" s="40">
        <v>0.3</v>
      </c>
      <c r="N24" s="39">
        <v>0.3</v>
      </c>
    </row>
    <row r="25" spans="1:14" ht="10" customHeight="1" thickBot="1" x14ac:dyDescent="0.4">
      <c r="A25" s="31" t="s">
        <v>116</v>
      </c>
      <c r="B25" s="30" t="s">
        <v>126</v>
      </c>
      <c r="C25" s="29" t="s">
        <v>95</v>
      </c>
      <c r="D25" s="28">
        <v>3557.3904055117705</v>
      </c>
      <c r="E25" s="27">
        <v>9319.1852735307002</v>
      </c>
      <c r="F25" s="27">
        <v>10242.858281007007</v>
      </c>
      <c r="G25" s="27">
        <v>11134.685770316699</v>
      </c>
      <c r="H25" s="27">
        <v>11995.081169904388</v>
      </c>
      <c r="I25" s="27">
        <v>12824.763669265809</v>
      </c>
      <c r="J25" s="27">
        <v>13624.645391935572</v>
      </c>
      <c r="K25" s="27">
        <v>14395.754465081296</v>
      </c>
      <c r="L25" s="27">
        <v>15139.182149901038</v>
      </c>
      <c r="M25" s="27">
        <v>15856.04639291443</v>
      </c>
      <c r="N25" s="26">
        <v>16547.466745810234</v>
      </c>
    </row>
    <row r="26" spans="1:14" ht="10" customHeight="1" thickBot="1" x14ac:dyDescent="0.4">
      <c r="A26" s="45" t="s">
        <v>125</v>
      </c>
      <c r="B26" s="44"/>
      <c r="C26" s="88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</row>
    <row r="27" spans="1:14" ht="10" customHeight="1" x14ac:dyDescent="0.35">
      <c r="A27" s="34" t="s">
        <v>124</v>
      </c>
      <c r="B27" s="33" t="s">
        <v>123</v>
      </c>
      <c r="C27" s="36" t="s">
        <v>107</v>
      </c>
      <c r="D27" s="50">
        <v>206000</v>
      </c>
      <c r="E27" s="49">
        <v>206000</v>
      </c>
      <c r="F27" s="49">
        <v>206000</v>
      </c>
      <c r="G27" s="49">
        <v>206000</v>
      </c>
      <c r="H27" s="49">
        <v>206000</v>
      </c>
      <c r="I27" s="49">
        <v>206000</v>
      </c>
      <c r="J27" s="49">
        <v>206000</v>
      </c>
      <c r="K27" s="49">
        <v>206000</v>
      </c>
      <c r="L27" s="49">
        <v>206000</v>
      </c>
      <c r="M27" s="49">
        <v>206000</v>
      </c>
      <c r="N27" s="48">
        <v>206000</v>
      </c>
    </row>
    <row r="28" spans="1:14" ht="10" customHeight="1" x14ac:dyDescent="0.35">
      <c r="A28" s="34" t="s">
        <v>122</v>
      </c>
      <c r="B28" s="35" t="s">
        <v>121</v>
      </c>
      <c r="C28" s="32" t="s">
        <v>107</v>
      </c>
      <c r="D28" s="50">
        <v>206000</v>
      </c>
      <c r="E28" s="49">
        <v>206000</v>
      </c>
      <c r="F28" s="49">
        <v>206000</v>
      </c>
      <c r="G28" s="49">
        <v>206000</v>
      </c>
      <c r="H28" s="49">
        <v>206000</v>
      </c>
      <c r="I28" s="49">
        <v>206000</v>
      </c>
      <c r="J28" s="49">
        <v>206000</v>
      </c>
      <c r="K28" s="49">
        <v>206000</v>
      </c>
      <c r="L28" s="49">
        <v>206000</v>
      </c>
      <c r="M28" s="49">
        <v>206000</v>
      </c>
      <c r="N28" s="48">
        <v>206000</v>
      </c>
    </row>
    <row r="29" spans="1:14" ht="10" customHeight="1" x14ac:dyDescent="0.35">
      <c r="A29" s="34" t="s">
        <v>120</v>
      </c>
      <c r="B29" s="35" t="s">
        <v>119</v>
      </c>
      <c r="C29" s="32" t="s">
        <v>81</v>
      </c>
      <c r="D29" s="41">
        <v>0.3</v>
      </c>
      <c r="E29" s="40">
        <v>0.3</v>
      </c>
      <c r="F29" s="40">
        <v>0.3</v>
      </c>
      <c r="G29" s="40">
        <v>0.3</v>
      </c>
      <c r="H29" s="40">
        <v>0.3</v>
      </c>
      <c r="I29" s="40">
        <v>0.3</v>
      </c>
      <c r="J29" s="40">
        <v>0.3</v>
      </c>
      <c r="K29" s="40">
        <v>0.3</v>
      </c>
      <c r="L29" s="40">
        <v>0.3</v>
      </c>
      <c r="M29" s="40">
        <v>0.3</v>
      </c>
      <c r="N29" s="39">
        <v>0.3</v>
      </c>
    </row>
    <row r="30" spans="1:14" ht="10" customHeight="1" x14ac:dyDescent="0.35">
      <c r="A30" s="34" t="s">
        <v>118</v>
      </c>
      <c r="B30" s="47" t="s">
        <v>117</v>
      </c>
      <c r="C30" s="32" t="s">
        <v>81</v>
      </c>
      <c r="D30" s="41">
        <v>0.3</v>
      </c>
      <c r="E30" s="40">
        <v>0.3</v>
      </c>
      <c r="F30" s="40">
        <v>0.3</v>
      </c>
      <c r="G30" s="40">
        <v>0.3</v>
      </c>
      <c r="H30" s="40">
        <v>0.3</v>
      </c>
      <c r="I30" s="40">
        <v>0.3</v>
      </c>
      <c r="J30" s="40">
        <v>0.3</v>
      </c>
      <c r="K30" s="40">
        <v>0.3</v>
      </c>
      <c r="L30" s="40">
        <v>0.3</v>
      </c>
      <c r="M30" s="40">
        <v>0.3</v>
      </c>
      <c r="N30" s="39">
        <v>0.3</v>
      </c>
    </row>
    <row r="31" spans="1:14" ht="10" customHeight="1" thickBot="1" x14ac:dyDescent="0.4">
      <c r="A31" s="46" t="s">
        <v>116</v>
      </c>
      <c r="B31" s="30" t="s">
        <v>115</v>
      </c>
      <c r="C31" s="29" t="s">
        <v>95</v>
      </c>
      <c r="D31" s="28">
        <v>20556.105137083978</v>
      </c>
      <c r="E31" s="27">
        <v>18811.250799406422</v>
      </c>
      <c r="F31" s="27">
        <v>17152.658111661975</v>
      </c>
      <c r="G31" s="27">
        <v>15576.522166694474</v>
      </c>
      <c r="H31" s="27">
        <v>14079.426153318382</v>
      </c>
      <c r="I31" s="27">
        <v>12658.320036574585</v>
      </c>
      <c r="J31" s="27">
        <v>11310.505796524831</v>
      </c>
      <c r="K31" s="27">
        <v>10033.629727407873</v>
      </c>
      <c r="L31" s="27">
        <v>8825.6828420565271</v>
      </c>
      <c r="M31" s="27">
        <v>7685.0112325587752</v>
      </c>
      <c r="N31" s="26">
        <v>6610.3395153147803</v>
      </c>
    </row>
    <row r="32" spans="1:14" ht="10" customHeight="1" thickBot="1" x14ac:dyDescent="0.4">
      <c r="A32" s="45" t="s">
        <v>114</v>
      </c>
      <c r="B32" s="44"/>
      <c r="C32" s="88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</row>
    <row r="33" spans="1:14" ht="10" customHeight="1" x14ac:dyDescent="0.35">
      <c r="A33" s="34" t="s">
        <v>113</v>
      </c>
      <c r="B33" s="33" t="s">
        <v>112</v>
      </c>
      <c r="C33" s="36" t="s">
        <v>95</v>
      </c>
      <c r="D33" s="28">
        <v>3557.3904055117705</v>
      </c>
      <c r="E33" s="27">
        <v>3862.6853164920713</v>
      </c>
      <c r="F33" s="27">
        <v>4167.9802274723725</v>
      </c>
      <c r="G33" s="27">
        <v>4473.2751384526737</v>
      </c>
      <c r="H33" s="27">
        <v>4778.5700494329749</v>
      </c>
      <c r="I33" s="27">
        <v>5083.8649604132761</v>
      </c>
      <c r="J33" s="27">
        <v>5389.1598713935773</v>
      </c>
      <c r="K33" s="27">
        <v>5694.4547823738785</v>
      </c>
      <c r="L33" s="27">
        <v>5999.7496933541797</v>
      </c>
      <c r="M33" s="27">
        <v>6305.0446043344809</v>
      </c>
      <c r="N33" s="26">
        <v>6610.3395153147803</v>
      </c>
    </row>
    <row r="34" spans="1:14" ht="10" customHeight="1" x14ac:dyDescent="0.35">
      <c r="A34" s="34" t="s">
        <v>111</v>
      </c>
      <c r="B34" s="35" t="s">
        <v>110</v>
      </c>
      <c r="C34" s="32" t="s">
        <v>107</v>
      </c>
      <c r="D34" s="28">
        <v>1554.9999999999993</v>
      </c>
      <c r="E34" s="27">
        <v>1549.1985160367738</v>
      </c>
      <c r="F34" s="27">
        <v>1537.5609751121519</v>
      </c>
      <c r="G34" s="27">
        <v>1529.0314345120989</v>
      </c>
      <c r="H34" s="27">
        <v>1522.9036619612641</v>
      </c>
      <c r="I34" s="27">
        <v>1518.6675014579196</v>
      </c>
      <c r="J34" s="27">
        <v>1515.9449229582397</v>
      </c>
      <c r="K34" s="27">
        <v>1514.44969268004</v>
      </c>
      <c r="L34" s="27">
        <v>1513.9610372414747</v>
      </c>
      <c r="M34" s="27">
        <v>1514.3059246553541</v>
      </c>
      <c r="N34" s="26">
        <v>1515.3468303185473</v>
      </c>
    </row>
    <row r="35" spans="1:14" ht="10" customHeight="1" x14ac:dyDescent="0.35">
      <c r="A35" s="34" t="s">
        <v>109</v>
      </c>
      <c r="B35" s="35" t="s">
        <v>108</v>
      </c>
      <c r="C35" s="32" t="s">
        <v>107</v>
      </c>
      <c r="D35" s="28">
        <v>866.06743838709531</v>
      </c>
      <c r="E35" s="27">
        <v>916.85754609564094</v>
      </c>
      <c r="F35" s="27">
        <v>969.76096549123997</v>
      </c>
      <c r="G35" s="27">
        <v>1025.2715540053509</v>
      </c>
      <c r="H35" s="27">
        <v>1083.9529693962743</v>
      </c>
      <c r="I35" s="27">
        <v>1146.4689445829267</v>
      </c>
      <c r="J35" s="27">
        <v>1213.6228206840517</v>
      </c>
      <c r="K35" s="27">
        <v>1286.411991649964</v>
      </c>
      <c r="L35" s="27">
        <v>1366.1061601763686</v>
      </c>
      <c r="M35" s="27">
        <v>1454.3642802150111</v>
      </c>
      <c r="N35" s="26">
        <v>1553.4163723729046</v>
      </c>
    </row>
    <row r="36" spans="1:14" ht="10" customHeight="1" x14ac:dyDescent="0.35">
      <c r="A36" s="34" t="s">
        <v>106</v>
      </c>
      <c r="B36" s="35" t="s">
        <v>105</v>
      </c>
      <c r="C36" s="32" t="s">
        <v>98</v>
      </c>
      <c r="D36" s="41">
        <v>2.3495260555902715</v>
      </c>
      <c r="E36" s="40">
        <v>2.3818801135149057</v>
      </c>
      <c r="F36" s="40">
        <v>2.4202953258562676</v>
      </c>
      <c r="G36" s="40">
        <v>2.4573690544026738</v>
      </c>
      <c r="H36" s="40">
        <v>2.4931890402438865</v>
      </c>
      <c r="I36" s="40">
        <v>2.5278423604742835</v>
      </c>
      <c r="J36" s="40">
        <v>2.5614116194189807</v>
      </c>
      <c r="K36" s="40">
        <v>2.5939734140695334</v>
      </c>
      <c r="L36" s="40">
        <v>2.6255979277734056</v>
      </c>
      <c r="M36" s="40">
        <v>2.6563490743021085</v>
      </c>
      <c r="N36" s="39">
        <v>2.6862848952323795</v>
      </c>
    </row>
    <row r="37" spans="1:14" ht="10" customHeight="1" x14ac:dyDescent="0.35">
      <c r="A37" s="34" t="s">
        <v>104</v>
      </c>
      <c r="B37" s="35" t="s">
        <v>103</v>
      </c>
      <c r="C37" s="32" t="s">
        <v>98</v>
      </c>
      <c r="D37" s="41">
        <v>0.46576182935386118</v>
      </c>
      <c r="E37" s="40">
        <v>0.5006362102085089</v>
      </c>
      <c r="F37" s="40">
        <v>0.5355715291956632</v>
      </c>
      <c r="G37" s="40">
        <v>0.5692141052769526</v>
      </c>
      <c r="H37" s="40">
        <v>0.60167272172748643</v>
      </c>
      <c r="I37" s="40">
        <v>0.63304034320746427</v>
      </c>
      <c r="J37" s="40">
        <v>0.66339756896877489</v>
      </c>
      <c r="K37" s="40">
        <v>0.69281509053737977</v>
      </c>
      <c r="L37" s="40">
        <v>0.72135549894388473</v>
      </c>
      <c r="M37" s="40">
        <v>0.74907465077236068</v>
      </c>
      <c r="N37" s="39">
        <v>0.77602272516897064</v>
      </c>
    </row>
    <row r="38" spans="1:14" ht="10" customHeight="1" x14ac:dyDescent="0.35">
      <c r="A38" s="34" t="s">
        <v>102</v>
      </c>
      <c r="B38" s="35" t="s">
        <v>101</v>
      </c>
      <c r="C38" s="32" t="s">
        <v>98</v>
      </c>
      <c r="D38" s="41">
        <v>1.9525023171339499</v>
      </c>
      <c r="E38" s="40">
        <v>2.028350540325957</v>
      </c>
      <c r="F38" s="40">
        <v>2.1031802964885133</v>
      </c>
      <c r="G38" s="40">
        <v>2.1774051025801757</v>
      </c>
      <c r="H38" s="40">
        <v>2.2514167233625177</v>
      </c>
      <c r="I38" s="40">
        <v>2.3256040177143333</v>
      </c>
      <c r="J38" s="40">
        <v>2.4003712724768795</v>
      </c>
      <c r="K38" s="40">
        <v>2.4761582932606476</v>
      </c>
      <c r="L38" s="40">
        <v>2.5534649044680666</v>
      </c>
      <c r="M38" s="40">
        <v>2.6328835800683992</v>
      </c>
      <c r="N38" s="39">
        <v>2.7151461248883302</v>
      </c>
    </row>
    <row r="39" spans="1:14" ht="10" customHeight="1" x14ac:dyDescent="0.35">
      <c r="A39" s="34" t="s">
        <v>100</v>
      </c>
      <c r="B39" s="35" t="s">
        <v>99</v>
      </c>
      <c r="C39" s="32" t="s">
        <v>98</v>
      </c>
      <c r="D39" s="41">
        <v>1.004453910676971</v>
      </c>
      <c r="E39" s="40">
        <v>0.99171345614826789</v>
      </c>
      <c r="F39" s="40">
        <v>0.97572223009785808</v>
      </c>
      <c r="G39" s="40">
        <v>0.9567296204592507</v>
      </c>
      <c r="H39" s="40">
        <v>0.93491770185648781</v>
      </c>
      <c r="I39" s="40">
        <v>0.91041141663571024</v>
      </c>
      <c r="J39" s="40">
        <v>0.88328461451125595</v>
      </c>
      <c r="K39" s="40">
        <v>0.85356267882218928</v>
      </c>
      <c r="L39" s="40">
        <v>0.82122193799822252</v>
      </c>
      <c r="M39" s="40">
        <v>0.78618555652011812</v>
      </c>
      <c r="N39" s="39">
        <v>0.74831497014911075</v>
      </c>
    </row>
    <row r="40" spans="1:14" ht="10" customHeight="1" thickBot="1" x14ac:dyDescent="0.4">
      <c r="A40" s="31" t="s">
        <v>97</v>
      </c>
      <c r="B40" s="30" t="s">
        <v>96</v>
      </c>
      <c r="C40" s="29" t="s">
        <v>95</v>
      </c>
      <c r="D40" s="28">
        <v>3682.8815512457018</v>
      </c>
      <c r="E40" s="27">
        <v>3998.946100584024</v>
      </c>
      <c r="F40" s="27">
        <v>4315.0106499223466</v>
      </c>
      <c r="G40" s="27">
        <v>4631.0751992606693</v>
      </c>
      <c r="H40" s="27">
        <v>4947.1397485989919</v>
      </c>
      <c r="I40" s="27">
        <v>5263.2042979373136</v>
      </c>
      <c r="J40" s="27">
        <v>5579.2688472756363</v>
      </c>
      <c r="K40" s="27">
        <v>5895.3333966139589</v>
      </c>
      <c r="L40" s="27">
        <v>6211.3979459522816</v>
      </c>
      <c r="M40" s="27">
        <v>6527.4624952906042</v>
      </c>
      <c r="N40" s="26">
        <v>6843.5270446289251</v>
      </c>
    </row>
    <row r="41" spans="1:14" ht="10" customHeight="1" thickBot="1" x14ac:dyDescent="0.4">
      <c r="A41" s="43" t="s">
        <v>94</v>
      </c>
      <c r="B41" s="42"/>
      <c r="C41" s="24" t="s">
        <v>93</v>
      </c>
      <c r="D41" s="83">
        <v>50</v>
      </c>
      <c r="E41" s="84"/>
      <c r="F41" s="84"/>
      <c r="G41" s="84"/>
      <c r="H41" s="84"/>
      <c r="I41" s="84"/>
      <c r="J41" s="84"/>
      <c r="K41" s="84"/>
      <c r="L41" s="84"/>
      <c r="M41" s="84"/>
      <c r="N41" s="85"/>
    </row>
    <row r="42" spans="1:14" ht="10" customHeight="1" x14ac:dyDescent="0.35">
      <c r="A42" s="37" t="s">
        <v>92</v>
      </c>
      <c r="B42" s="33" t="s">
        <v>91</v>
      </c>
      <c r="C42" s="36" t="s">
        <v>88</v>
      </c>
      <c r="D42" s="41">
        <v>78.600054367976426</v>
      </c>
      <c r="E42" s="40">
        <v>78.600054367976426</v>
      </c>
      <c r="F42" s="40">
        <v>78.600054367976426</v>
      </c>
      <c r="G42" s="40">
        <v>78.600054367976426</v>
      </c>
      <c r="H42" s="40">
        <v>78.600054367976426</v>
      </c>
      <c r="I42" s="40">
        <v>78.600054367976426</v>
      </c>
      <c r="J42" s="40">
        <v>78.600054367976426</v>
      </c>
      <c r="K42" s="40">
        <v>78.600054367976426</v>
      </c>
      <c r="L42" s="40">
        <v>78.600054367976426</v>
      </c>
      <c r="M42" s="40">
        <v>78.600054367976426</v>
      </c>
      <c r="N42" s="39">
        <v>78.600054367976426</v>
      </c>
    </row>
    <row r="43" spans="1:14" ht="10" customHeight="1" x14ac:dyDescent="0.35">
      <c r="A43" s="34" t="s">
        <v>90</v>
      </c>
      <c r="B43" s="35" t="s">
        <v>89</v>
      </c>
      <c r="C43" s="32" t="s">
        <v>88</v>
      </c>
      <c r="D43" s="41">
        <v>98.250067959970551</v>
      </c>
      <c r="E43" s="40">
        <v>83.355283645888363</v>
      </c>
      <c r="F43" s="40">
        <v>71.30243432870094</v>
      </c>
      <c r="G43" s="40">
        <v>61.348992668628583</v>
      </c>
      <c r="H43" s="40">
        <v>52.990380001300281</v>
      </c>
      <c r="I43" s="40">
        <v>45.871720471376982</v>
      </c>
      <c r="J43" s="40">
        <v>39.736155722404852</v>
      </c>
      <c r="K43" s="40">
        <v>34.393189879874349</v>
      </c>
      <c r="L43" s="40">
        <v>29.698557920727822</v>
      </c>
      <c r="M43" s="40">
        <v>25.541003366509191</v>
      </c>
      <c r="N43" s="39">
        <v>21.833348435549006</v>
      </c>
    </row>
    <row r="44" spans="1:14" ht="10" customHeight="1" x14ac:dyDescent="0.35">
      <c r="A44" s="34" t="s">
        <v>87</v>
      </c>
      <c r="B44" s="35" t="s">
        <v>86</v>
      </c>
      <c r="C44" s="32" t="s">
        <v>81</v>
      </c>
      <c r="D44" s="41">
        <v>9.9228972283347039E-2</v>
      </c>
      <c r="E44" s="40">
        <v>9.8902454780740945E-2</v>
      </c>
      <c r="F44" s="40">
        <v>9.8459297691537093E-2</v>
      </c>
      <c r="G44" s="40">
        <v>9.8069316513335031E-2</v>
      </c>
      <c r="H44" s="40">
        <v>9.7723163851460682E-2</v>
      </c>
      <c r="I44" s="40">
        <v>9.7413579480145257E-2</v>
      </c>
      <c r="J44" s="40">
        <v>9.7134837349833969E-2</v>
      </c>
      <c r="K44" s="40">
        <v>9.6882357800999602E-2</v>
      </c>
      <c r="L44" s="40">
        <v>9.6652431402470845E-2</v>
      </c>
      <c r="M44" s="40">
        <v>9.6442019097503898E-2</v>
      </c>
      <c r="N44" s="39">
        <v>9.6248605287781883E-2</v>
      </c>
    </row>
    <row r="45" spans="1:14" ht="10" customHeight="1" thickBot="1" x14ac:dyDescent="0.4">
      <c r="A45" s="31" t="s">
        <v>85</v>
      </c>
      <c r="B45" s="30" t="s">
        <v>84</v>
      </c>
      <c r="C45" s="29" t="s">
        <v>81</v>
      </c>
      <c r="D45" s="41">
        <v>7.6232178349488436E-2</v>
      </c>
      <c r="E45" s="40">
        <v>8.0103918272456276E-2</v>
      </c>
      <c r="F45" s="40">
        <v>8.36056642684469E-2</v>
      </c>
      <c r="G45" s="40">
        <v>8.682357730924177E-2</v>
      </c>
      <c r="H45" s="40">
        <v>8.9823179944799741E-2</v>
      </c>
      <c r="I45" s="40">
        <v>9.2654655637312941E-2</v>
      </c>
      <c r="J45" s="40">
        <v>9.5356545637735962E-2</v>
      </c>
      <c r="K45" s="40">
        <v>9.7958068519507349E-2</v>
      </c>
      <c r="L45" s="40">
        <v>0.10048020389740385</v>
      </c>
      <c r="M45" s="40">
        <v>0.1029354465843008</v>
      </c>
      <c r="N45" s="39">
        <v>0.10532573712098367</v>
      </c>
    </row>
    <row r="46" spans="1:14" ht="10" customHeight="1" thickBot="1" x14ac:dyDescent="0.4">
      <c r="A46" s="78"/>
      <c r="B46" s="79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2"/>
    </row>
    <row r="47" spans="1:14" ht="10" customHeight="1" thickBot="1" x14ac:dyDescent="0.4">
      <c r="A47" s="38" t="s">
        <v>83</v>
      </c>
      <c r="B47" s="24" t="s">
        <v>82</v>
      </c>
      <c r="C47" s="23" t="s">
        <v>81</v>
      </c>
      <c r="D47" s="83">
        <v>4</v>
      </c>
      <c r="E47" s="84"/>
      <c r="F47" s="84"/>
      <c r="G47" s="84"/>
      <c r="H47" s="84"/>
      <c r="I47" s="84"/>
      <c r="J47" s="84"/>
      <c r="K47" s="84"/>
      <c r="L47" s="84"/>
      <c r="M47" s="84"/>
      <c r="N47" s="85"/>
    </row>
    <row r="48" spans="1:14" ht="10" customHeight="1" x14ac:dyDescent="0.35">
      <c r="A48" s="37" t="s">
        <v>80</v>
      </c>
      <c r="B48" s="33" t="s">
        <v>79</v>
      </c>
      <c r="C48" s="36" t="s">
        <v>70</v>
      </c>
      <c r="D48" s="28">
        <v>247.09733576470052</v>
      </c>
      <c r="E48" s="27">
        <v>267.42034189261238</v>
      </c>
      <c r="F48" s="27">
        <v>287.26348419239997</v>
      </c>
      <c r="G48" s="27">
        <v>307.08372478290352</v>
      </c>
      <c r="H48" s="27">
        <v>326.88388874149479</v>
      </c>
      <c r="I48" s="27">
        <v>346.66623837128094</v>
      </c>
      <c r="J48" s="27">
        <v>366.4326172920471</v>
      </c>
      <c r="K48" s="27">
        <v>386.18454399529156</v>
      </c>
      <c r="L48" s="27">
        <v>405.9232769682373</v>
      </c>
      <c r="M48" s="27">
        <v>425.64986249928791</v>
      </c>
      <c r="N48" s="26">
        <v>445.36517117943174</v>
      </c>
    </row>
    <row r="49" spans="1:14" ht="10" customHeight="1" x14ac:dyDescent="0.35">
      <c r="A49" s="34" t="s">
        <v>78</v>
      </c>
      <c r="B49" s="35" t="s">
        <v>77</v>
      </c>
      <c r="C49" s="32" t="s">
        <v>70</v>
      </c>
      <c r="D49" s="28">
        <v>347.12015341021731</v>
      </c>
      <c r="E49" s="27">
        <v>396.05277299775713</v>
      </c>
      <c r="F49" s="27">
        <v>446.03744713674251</v>
      </c>
      <c r="G49" s="27">
        <v>497.13375975546222</v>
      </c>
      <c r="H49" s="27">
        <v>549.40973750918226</v>
      </c>
      <c r="I49" s="27">
        <v>602.9360092335279</v>
      </c>
      <c r="J49" s="27">
        <v>657.78133660876415</v>
      </c>
      <c r="K49" s="27">
        <v>714.00677344386133</v>
      </c>
      <c r="L49" s="27">
        <v>771.65577282766628</v>
      </c>
      <c r="M49" s="27">
        <v>830.73610506381556</v>
      </c>
      <c r="N49" s="26">
        <v>891.18576905023372</v>
      </c>
    </row>
    <row r="50" spans="1:14" ht="10" customHeight="1" thickBot="1" x14ac:dyDescent="0.4">
      <c r="A50" s="34" t="s">
        <v>76</v>
      </c>
      <c r="B50" s="30" t="s">
        <v>75</v>
      </c>
      <c r="C50" s="32" t="s">
        <v>70</v>
      </c>
      <c r="D50" s="28">
        <v>433.90019176277173</v>
      </c>
      <c r="E50" s="27">
        <v>420.01359283307335</v>
      </c>
      <c r="F50" s="27">
        <v>404.62511175522212</v>
      </c>
      <c r="G50" s="27">
        <v>388.02333697865106</v>
      </c>
      <c r="H50" s="27">
        <v>370.39962632503881</v>
      </c>
      <c r="I50" s="27">
        <v>351.87904512387189</v>
      </c>
      <c r="J50" s="27">
        <v>332.54050309444301</v>
      </c>
      <c r="K50" s="27">
        <v>312.42943445820634</v>
      </c>
      <c r="L50" s="27">
        <v>291.56549379593571</v>
      </c>
      <c r="M50" s="27">
        <v>269.94680635692163</v>
      </c>
      <c r="N50" s="26">
        <v>247.55160251395378</v>
      </c>
    </row>
    <row r="51" spans="1:14" ht="10" customHeight="1" x14ac:dyDescent="0.35">
      <c r="A51" s="34" t="s">
        <v>74</v>
      </c>
      <c r="B51" s="33" t="s">
        <v>73</v>
      </c>
      <c r="C51" s="32" t="s">
        <v>70</v>
      </c>
      <c r="D51" s="28">
        <v>247.09733576470052</v>
      </c>
      <c r="E51" s="27">
        <v>267.42034189261238</v>
      </c>
      <c r="F51" s="27">
        <v>287.26348419239997</v>
      </c>
      <c r="G51" s="27">
        <v>307.08372478290352</v>
      </c>
      <c r="H51" s="27">
        <v>326.88388874149479</v>
      </c>
      <c r="I51" s="27">
        <v>346.66623837128094</v>
      </c>
      <c r="J51" s="27">
        <v>332.54050309444301</v>
      </c>
      <c r="K51" s="27">
        <v>312.42943445820634</v>
      </c>
      <c r="L51" s="27">
        <v>291.56549379593571</v>
      </c>
      <c r="M51" s="27">
        <v>269.94680635692163</v>
      </c>
      <c r="N51" s="26">
        <v>247.55160251395378</v>
      </c>
    </row>
    <row r="52" spans="1:14" ht="10" customHeight="1" thickBot="1" x14ac:dyDescent="0.4">
      <c r="A52" s="31" t="s">
        <v>72</v>
      </c>
      <c r="B52" s="30" t="s">
        <v>71</v>
      </c>
      <c r="C52" s="29" t="s">
        <v>70</v>
      </c>
      <c r="D52" s="28">
        <v>197.67786861176037</v>
      </c>
      <c r="E52" s="27">
        <v>252.16461983569758</v>
      </c>
      <c r="F52" s="27">
        <v>316.66416003932164</v>
      </c>
      <c r="G52" s="27">
        <v>393.43429147777226</v>
      </c>
      <c r="H52" s="27">
        <v>484.86331719958588</v>
      </c>
      <c r="I52" s="27">
        <v>594.00399425887565</v>
      </c>
      <c r="J52" s="27">
        <v>657.78133660876415</v>
      </c>
      <c r="K52" s="27">
        <v>714.00677344386133</v>
      </c>
      <c r="L52" s="27">
        <v>771.65577282766628</v>
      </c>
      <c r="M52" s="27">
        <v>830.73610506381556</v>
      </c>
      <c r="N52" s="26">
        <v>891.18576905023372</v>
      </c>
    </row>
    <row r="53" spans="1:14" ht="10" customHeight="1" thickBot="1" x14ac:dyDescent="0.4">
      <c r="A53" s="25" t="s">
        <v>69</v>
      </c>
      <c r="B53" s="24" t="s">
        <v>68</v>
      </c>
      <c r="C53" s="23" t="s">
        <v>67</v>
      </c>
      <c r="D53" s="22">
        <v>37520.160113399703</v>
      </c>
      <c r="E53" s="21">
        <v>40606.079439664594</v>
      </c>
      <c r="F53" s="21">
        <v>43619.134493200152</v>
      </c>
      <c r="G53" s="21">
        <v>46628.712067723049</v>
      </c>
      <c r="H53" s="21">
        <v>49635.241133278592</v>
      </c>
      <c r="I53" s="21">
        <v>52639.065206216503</v>
      </c>
      <c r="J53" s="21">
        <v>50494.162074556873</v>
      </c>
      <c r="K53" s="21">
        <v>47440.424109523883</v>
      </c>
      <c r="L53" s="21">
        <v>44272.367311896953</v>
      </c>
      <c r="M53" s="21">
        <v>40989.70701269502</v>
      </c>
      <c r="N53" s="20">
        <v>37589.137632373859</v>
      </c>
    </row>
  </sheetData>
  <mergeCells count="9">
    <mergeCell ref="D1:N1"/>
    <mergeCell ref="A46:N46"/>
    <mergeCell ref="D47:N47"/>
    <mergeCell ref="A18:N18"/>
    <mergeCell ref="C19:N19"/>
    <mergeCell ref="C32:N32"/>
    <mergeCell ref="C26:N26"/>
    <mergeCell ref="D41:N41"/>
    <mergeCell ref="D20:N20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69BF1-9D7D-4799-91E0-EFA1818B359A}">
  <sheetPr codeName="List1"/>
  <dimension ref="A1:U95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F1" sqref="F1"/>
    </sheetView>
  </sheetViews>
  <sheetFormatPr defaultRowHeight="14.5" x14ac:dyDescent="0.35"/>
  <cols>
    <col min="2" max="2" width="19.54296875" customWidth="1"/>
    <col min="3" max="3" width="43.08984375" customWidth="1"/>
    <col min="4" max="4" width="12.36328125" customWidth="1"/>
    <col min="5" max="5" width="19.81640625" customWidth="1"/>
    <col min="6" max="6" width="12.81640625" customWidth="1"/>
    <col min="7" max="7" width="14.26953125" bestFit="1" customWidth="1"/>
    <col min="8" max="9" width="10.36328125" bestFit="1" customWidth="1"/>
    <col min="10" max="11" width="9.36328125" bestFit="1" customWidth="1"/>
    <col min="12" max="15" width="10.36328125" bestFit="1" customWidth="1"/>
  </cols>
  <sheetData>
    <row r="1" spans="1:16" ht="26" x14ac:dyDescent="0.6">
      <c r="A1" s="97" t="s">
        <v>201</v>
      </c>
      <c r="B1" s="97"/>
      <c r="C1" s="97"/>
      <c r="D1" s="69" t="s">
        <v>177</v>
      </c>
      <c r="E1" s="6">
        <v>0.7</v>
      </c>
    </row>
    <row r="2" spans="1:16" x14ac:dyDescent="0.35">
      <c r="C2" t="s">
        <v>176</v>
      </c>
      <c r="D2" s="68" t="s">
        <v>81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</row>
    <row r="3" spans="1:16" x14ac:dyDescent="0.35">
      <c r="B3" s="12" t="s">
        <v>0</v>
      </c>
      <c r="C3" t="s">
        <v>199</v>
      </c>
      <c r="D3" s="68" t="s">
        <v>81</v>
      </c>
      <c r="E3" s="1">
        <v>0.8</v>
      </c>
      <c r="O3" s="1">
        <v>3.6</v>
      </c>
    </row>
    <row r="4" spans="1:16" x14ac:dyDescent="0.35">
      <c r="C4" t="s">
        <v>2</v>
      </c>
      <c r="D4" s="68" t="s">
        <v>98</v>
      </c>
      <c r="E4" s="1">
        <v>175</v>
      </c>
      <c r="F4">
        <f>E4</f>
        <v>175</v>
      </c>
      <c r="G4">
        <f t="shared" ref="G4:O4" si="0">F4</f>
        <v>175</v>
      </c>
      <c r="H4">
        <f t="shared" si="0"/>
        <v>175</v>
      </c>
      <c r="I4">
        <f t="shared" si="0"/>
        <v>175</v>
      </c>
      <c r="J4">
        <f t="shared" si="0"/>
        <v>175</v>
      </c>
      <c r="K4">
        <f t="shared" si="0"/>
        <v>175</v>
      </c>
      <c r="L4">
        <f t="shared" si="0"/>
        <v>175</v>
      </c>
      <c r="M4">
        <f t="shared" si="0"/>
        <v>175</v>
      </c>
      <c r="N4">
        <f t="shared" si="0"/>
        <v>175</v>
      </c>
      <c r="O4">
        <f t="shared" si="0"/>
        <v>175</v>
      </c>
    </row>
    <row r="5" spans="1:16" x14ac:dyDescent="0.35">
      <c r="C5" t="s">
        <v>3</v>
      </c>
      <c r="D5" s="68" t="s">
        <v>98</v>
      </c>
      <c r="E5" s="1">
        <v>-320</v>
      </c>
      <c r="F5">
        <f>E5</f>
        <v>-320</v>
      </c>
      <c r="G5">
        <f t="shared" ref="G5:O5" si="1">F5</f>
        <v>-320</v>
      </c>
      <c r="H5">
        <f t="shared" si="1"/>
        <v>-320</v>
      </c>
      <c r="I5">
        <f t="shared" si="1"/>
        <v>-320</v>
      </c>
      <c r="J5">
        <f t="shared" si="1"/>
        <v>-320</v>
      </c>
      <c r="K5">
        <f t="shared" si="1"/>
        <v>-320</v>
      </c>
      <c r="L5">
        <f t="shared" si="1"/>
        <v>-320</v>
      </c>
      <c r="M5">
        <f t="shared" si="1"/>
        <v>-320</v>
      </c>
      <c r="N5">
        <f t="shared" si="1"/>
        <v>-320</v>
      </c>
      <c r="O5">
        <f t="shared" si="1"/>
        <v>-320</v>
      </c>
    </row>
    <row r="6" spans="1:16" x14ac:dyDescent="0.35">
      <c r="C6" t="s">
        <v>55</v>
      </c>
      <c r="D6" s="68" t="s">
        <v>98</v>
      </c>
      <c r="E6" s="7">
        <f>(E3*E4*(ABS(E5)-E4))/(ABS(E5)*(1+E3*E4/ABS(E5)))</f>
        <v>44.130434782608695</v>
      </c>
      <c r="F6">
        <f t="shared" ref="F6:N6" si="2">($O$6-$E$6)/10*E2+$E$6</f>
        <v>49.333180778032037</v>
      </c>
      <c r="G6">
        <f t="shared" si="2"/>
        <v>54.53592677345538</v>
      </c>
      <c r="H6">
        <f t="shared" si="2"/>
        <v>59.738672768878715</v>
      </c>
      <c r="I6">
        <f t="shared" si="2"/>
        <v>64.941418764302057</v>
      </c>
      <c r="J6">
        <f t="shared" si="2"/>
        <v>70.144164759725399</v>
      </c>
      <c r="K6">
        <f t="shared" si="2"/>
        <v>75.346910755148741</v>
      </c>
      <c r="L6">
        <f t="shared" si="2"/>
        <v>80.549656750572083</v>
      </c>
      <c r="M6">
        <f t="shared" si="2"/>
        <v>85.752402745995425</v>
      </c>
      <c r="N6">
        <f t="shared" si="2"/>
        <v>90.955148741418768</v>
      </c>
      <c r="O6" s="7">
        <f>(O3*O4*(ABS(O5)-O4))/(ABS(O5)*(1+O3*O4/ABS(O5)))</f>
        <v>96.15789473684211</v>
      </c>
    </row>
    <row r="7" spans="1:16" x14ac:dyDescent="0.35">
      <c r="C7" t="s">
        <v>4</v>
      </c>
      <c r="D7" s="68" t="s">
        <v>98</v>
      </c>
      <c r="E7" s="7">
        <f t="shared" ref="E7:O7" si="3">ABS(E5)-E4-E6</f>
        <v>100.86956521739131</v>
      </c>
      <c r="F7">
        <f t="shared" si="3"/>
        <v>95.666819221967955</v>
      </c>
      <c r="G7">
        <f t="shared" si="3"/>
        <v>90.464073226544627</v>
      </c>
      <c r="H7">
        <f t="shared" si="3"/>
        <v>85.261327231121285</v>
      </c>
      <c r="I7">
        <f t="shared" si="3"/>
        <v>80.058581235697943</v>
      </c>
      <c r="J7">
        <f t="shared" si="3"/>
        <v>74.855835240274601</v>
      </c>
      <c r="K7">
        <f t="shared" si="3"/>
        <v>69.653089244851259</v>
      </c>
      <c r="L7">
        <f t="shared" si="3"/>
        <v>64.450343249427917</v>
      </c>
      <c r="M7">
        <f t="shared" si="3"/>
        <v>59.247597254004575</v>
      </c>
      <c r="N7">
        <f t="shared" si="3"/>
        <v>54.044851258581232</v>
      </c>
      <c r="O7" s="7">
        <f t="shared" si="3"/>
        <v>48.84210526315789</v>
      </c>
      <c r="P7" s="5"/>
    </row>
    <row r="8" spans="1:16" x14ac:dyDescent="0.35">
      <c r="C8" t="s">
        <v>5</v>
      </c>
      <c r="D8" s="68" t="s">
        <v>98</v>
      </c>
      <c r="E8">
        <f t="shared" ref="E8:O8" si="4">E4/2+E6/2</f>
        <v>109.56521739130434</v>
      </c>
      <c r="F8">
        <f t="shared" si="4"/>
        <v>112.16659038901602</v>
      </c>
      <c r="G8">
        <f t="shared" si="4"/>
        <v>114.76796338672769</v>
      </c>
      <c r="H8">
        <f t="shared" si="4"/>
        <v>117.36933638443935</v>
      </c>
      <c r="I8">
        <f t="shared" si="4"/>
        <v>119.97070938215103</v>
      </c>
      <c r="J8">
        <f t="shared" si="4"/>
        <v>122.57208237986271</v>
      </c>
      <c r="K8">
        <f t="shared" si="4"/>
        <v>125.17345537757437</v>
      </c>
      <c r="L8">
        <f t="shared" si="4"/>
        <v>127.77482837528603</v>
      </c>
      <c r="M8">
        <f t="shared" si="4"/>
        <v>130.37620137299771</v>
      </c>
      <c r="N8">
        <f t="shared" si="4"/>
        <v>132.97757437070939</v>
      </c>
      <c r="O8">
        <f t="shared" si="4"/>
        <v>135.57894736842104</v>
      </c>
      <c r="P8" s="5"/>
    </row>
    <row r="9" spans="1:16" x14ac:dyDescent="0.35">
      <c r="C9" t="s">
        <v>6</v>
      </c>
      <c r="D9" s="68" t="s">
        <v>98</v>
      </c>
      <c r="E9">
        <v>0</v>
      </c>
      <c r="F9">
        <f>(F8-E8)/TAN(15*PI()/180)+E9</f>
        <v>9.7084561968977408</v>
      </c>
      <c r="G9">
        <f t="shared" ref="G9:O9" si="5">(G8-F8)/TAN(15*PI()/180)+F9</f>
        <v>19.416912393795428</v>
      </c>
      <c r="H9">
        <f t="shared" si="5"/>
        <v>29.125368590693114</v>
      </c>
      <c r="I9">
        <f t="shared" si="5"/>
        <v>38.833824787590856</v>
      </c>
      <c r="J9">
        <f t="shared" si="5"/>
        <v>48.542280984488599</v>
      </c>
      <c r="K9">
        <f t="shared" si="5"/>
        <v>58.250737181386285</v>
      </c>
      <c r="L9">
        <f t="shared" si="5"/>
        <v>67.95919337828397</v>
      </c>
      <c r="M9">
        <f t="shared" si="5"/>
        <v>77.667649575181713</v>
      </c>
      <c r="N9">
        <f t="shared" si="5"/>
        <v>87.376105772079455</v>
      </c>
      <c r="O9">
        <f t="shared" si="5"/>
        <v>97.084561968977084</v>
      </c>
      <c r="P9" s="5"/>
    </row>
    <row r="10" spans="1:16" x14ac:dyDescent="0.35">
      <c r="C10" t="s">
        <v>1</v>
      </c>
      <c r="D10" s="68" t="s">
        <v>81</v>
      </c>
      <c r="E10">
        <f t="shared" ref="E10:O10" si="6">1/(E4/E6*E7/E5)</f>
        <v>-0.79999999999999982</v>
      </c>
      <c r="F10">
        <f t="shared" si="6"/>
        <v>-0.94295227524972269</v>
      </c>
      <c r="G10">
        <f t="shared" si="6"/>
        <v>-1.1023474178403756</v>
      </c>
      <c r="H10">
        <f t="shared" si="6"/>
        <v>-1.2811955168119551</v>
      </c>
      <c r="I10">
        <f t="shared" si="6"/>
        <v>-1.483289124668435</v>
      </c>
      <c r="J10">
        <f t="shared" si="6"/>
        <v>-1.7134751773049643</v>
      </c>
      <c r="K10">
        <f t="shared" si="6"/>
        <v>-1.9780487804878049</v>
      </c>
      <c r="L10">
        <f t="shared" si="6"/>
        <v>-2.2853377265238879</v>
      </c>
      <c r="M10">
        <f t="shared" si="6"/>
        <v>-2.6465949820788528</v>
      </c>
      <c r="N10">
        <f t="shared" si="6"/>
        <v>-3.0774066797642443</v>
      </c>
      <c r="O10">
        <f t="shared" si="6"/>
        <v>-3.6000000000000005</v>
      </c>
    </row>
    <row r="11" spans="1:16" x14ac:dyDescent="0.35">
      <c r="C11" t="s">
        <v>7</v>
      </c>
      <c r="D11" s="68" t="s">
        <v>81</v>
      </c>
      <c r="E11">
        <f>ABS(E10)</f>
        <v>0.79999999999999982</v>
      </c>
      <c r="F11">
        <f t="shared" ref="F11:O11" si="7">ABS(F10)</f>
        <v>0.94295227524972269</v>
      </c>
      <c r="G11">
        <f t="shared" si="7"/>
        <v>1.1023474178403756</v>
      </c>
      <c r="H11">
        <f t="shared" si="7"/>
        <v>1.2811955168119551</v>
      </c>
      <c r="I11">
        <f t="shared" si="7"/>
        <v>1.483289124668435</v>
      </c>
      <c r="J11">
        <f t="shared" si="7"/>
        <v>1.7134751773049643</v>
      </c>
      <c r="K11">
        <f t="shared" si="7"/>
        <v>1.9780487804878049</v>
      </c>
      <c r="L11">
        <f t="shared" si="7"/>
        <v>2.2853377265238879</v>
      </c>
      <c r="M11">
        <f t="shared" si="7"/>
        <v>2.6465949820788528</v>
      </c>
      <c r="N11">
        <f t="shared" si="7"/>
        <v>3.0774066797642443</v>
      </c>
      <c r="O11">
        <f t="shared" si="7"/>
        <v>3.6000000000000005</v>
      </c>
    </row>
    <row r="12" spans="1:16" x14ac:dyDescent="0.35">
      <c r="C12" t="s">
        <v>8</v>
      </c>
      <c r="D12" s="68" t="s">
        <v>143</v>
      </c>
      <c r="E12" s="1">
        <v>1450</v>
      </c>
      <c r="F12">
        <f>E12</f>
        <v>1450</v>
      </c>
      <c r="G12">
        <f t="shared" ref="G12:O12" si="8">F12</f>
        <v>1450</v>
      </c>
      <c r="H12">
        <f t="shared" si="8"/>
        <v>1450</v>
      </c>
      <c r="I12">
        <f t="shared" si="8"/>
        <v>1450</v>
      </c>
      <c r="J12">
        <f t="shared" si="8"/>
        <v>1450</v>
      </c>
      <c r="K12">
        <f t="shared" si="8"/>
        <v>1450</v>
      </c>
      <c r="L12">
        <f t="shared" si="8"/>
        <v>1450</v>
      </c>
      <c r="M12">
        <f t="shared" si="8"/>
        <v>1450</v>
      </c>
      <c r="N12">
        <f t="shared" si="8"/>
        <v>1450</v>
      </c>
      <c r="O12">
        <f t="shared" si="8"/>
        <v>1450</v>
      </c>
    </row>
    <row r="13" spans="1:16" x14ac:dyDescent="0.35">
      <c r="C13" t="s">
        <v>9</v>
      </c>
      <c r="D13" s="68" t="s">
        <v>143</v>
      </c>
      <c r="E13">
        <f>E12/E11</f>
        <v>1812.5000000000005</v>
      </c>
      <c r="F13">
        <f>F12/F11</f>
        <v>1537.7236346516004</v>
      </c>
      <c r="G13">
        <f t="shared" ref="G13:O13" si="9">G12/G11</f>
        <v>1315.3747870528109</v>
      </c>
      <c r="H13">
        <f t="shared" si="9"/>
        <v>1131.7554432348368</v>
      </c>
      <c r="I13">
        <f t="shared" si="9"/>
        <v>977.5572246065808</v>
      </c>
      <c r="J13">
        <f t="shared" si="9"/>
        <v>846.23344370860934</v>
      </c>
      <c r="K13">
        <f t="shared" si="9"/>
        <v>733.04562268803943</v>
      </c>
      <c r="L13">
        <f t="shared" si="9"/>
        <v>634.47952710495963</v>
      </c>
      <c r="M13">
        <f t="shared" si="9"/>
        <v>547.87378114842909</v>
      </c>
      <c r="N13">
        <f t="shared" si="9"/>
        <v>471.17594484167506</v>
      </c>
      <c r="O13">
        <f t="shared" si="9"/>
        <v>402.77777777777771</v>
      </c>
    </row>
    <row r="14" spans="1:16" x14ac:dyDescent="0.35">
      <c r="C14" t="s">
        <v>10</v>
      </c>
      <c r="D14" s="68" t="s">
        <v>143</v>
      </c>
      <c r="E14" s="7">
        <f t="shared" ref="E14:O14" si="10">E12*E4/E6</f>
        <v>5750</v>
      </c>
      <c r="F14" s="7">
        <f t="shared" si="10"/>
        <v>5143.5969868173261</v>
      </c>
      <c r="G14" s="7">
        <f t="shared" si="10"/>
        <v>4652.8960817717207</v>
      </c>
      <c r="H14" s="7">
        <f t="shared" si="10"/>
        <v>4247.667185069985</v>
      </c>
      <c r="I14" s="7">
        <f t="shared" si="10"/>
        <v>3907.3676680972821</v>
      </c>
      <c r="J14" s="7">
        <f t="shared" si="10"/>
        <v>3617.5496688741723</v>
      </c>
      <c r="K14" s="7">
        <f t="shared" si="10"/>
        <v>3367.7558569667076</v>
      </c>
      <c r="L14" s="7">
        <f t="shared" si="10"/>
        <v>3150.2306805074973</v>
      </c>
      <c r="M14" s="7">
        <f t="shared" si="10"/>
        <v>2959.1007583965329</v>
      </c>
      <c r="N14" s="7">
        <f t="shared" si="10"/>
        <v>2789.8365679264552</v>
      </c>
      <c r="O14" s="7">
        <f t="shared" si="10"/>
        <v>2638.8888888888887</v>
      </c>
    </row>
    <row r="15" spans="1:16" x14ac:dyDescent="0.35">
      <c r="C15" t="s">
        <v>11</v>
      </c>
      <c r="D15" s="68" t="s">
        <v>138</v>
      </c>
      <c r="E15">
        <f t="shared" ref="E15:O15" si="11">PI()*E4/1000*E12/60</f>
        <v>13.286318930806834</v>
      </c>
      <c r="F15">
        <f t="shared" si="11"/>
        <v>13.286318930806834</v>
      </c>
      <c r="G15">
        <f t="shared" si="11"/>
        <v>13.286318930806834</v>
      </c>
      <c r="H15">
        <f t="shared" si="11"/>
        <v>13.286318930806834</v>
      </c>
      <c r="I15">
        <f t="shared" si="11"/>
        <v>13.286318930806834</v>
      </c>
      <c r="J15">
        <f t="shared" si="11"/>
        <v>13.286318930806834</v>
      </c>
      <c r="K15">
        <f t="shared" si="11"/>
        <v>13.286318930806834</v>
      </c>
      <c r="L15">
        <f t="shared" si="11"/>
        <v>13.286318930806834</v>
      </c>
      <c r="M15">
        <f t="shared" si="11"/>
        <v>13.286318930806834</v>
      </c>
      <c r="N15">
        <f t="shared" si="11"/>
        <v>13.286318930806834</v>
      </c>
      <c r="O15">
        <f t="shared" si="11"/>
        <v>13.286318930806834</v>
      </c>
    </row>
    <row r="16" spans="1:16" x14ac:dyDescent="0.35">
      <c r="C16" t="s">
        <v>12</v>
      </c>
      <c r="D16" s="68" t="s">
        <v>138</v>
      </c>
      <c r="E16">
        <f t="shared" ref="E16:O16" si="12">PI()*ABS(E5)/1000*E13/60</f>
        <v>30.368728984701345</v>
      </c>
      <c r="F16">
        <f t="shared" si="12"/>
        <v>25.764806793988605</v>
      </c>
      <c r="G16">
        <f t="shared" si="12"/>
        <v>22.039316094519201</v>
      </c>
      <c r="H16">
        <f t="shared" si="12"/>
        <v>18.96274445934306</v>
      </c>
      <c r="I16">
        <f t="shared" si="12"/>
        <v>16.379128508200864</v>
      </c>
      <c r="J16">
        <f t="shared" si="12"/>
        <v>14.178777439877114</v>
      </c>
      <c r="K16">
        <f t="shared" si="12"/>
        <v>12.282297295908801</v>
      </c>
      <c r="L16">
        <f t="shared" si="12"/>
        <v>10.630806513099026</v>
      </c>
      <c r="M16">
        <f t="shared" si="12"/>
        <v>9.1797133117352914</v>
      </c>
      <c r="N16">
        <f t="shared" si="12"/>
        <v>7.8946287299351257</v>
      </c>
      <c r="O16">
        <f t="shared" si="12"/>
        <v>6.7486064410447408</v>
      </c>
    </row>
    <row r="17" spans="2:15" x14ac:dyDescent="0.35">
      <c r="C17" t="s">
        <v>13</v>
      </c>
      <c r="D17" s="68" t="s">
        <v>98</v>
      </c>
      <c r="E17" s="1">
        <v>200</v>
      </c>
      <c r="F17">
        <f>E17</f>
        <v>200</v>
      </c>
      <c r="G17">
        <f t="shared" ref="G17:O17" si="13">F17</f>
        <v>200</v>
      </c>
      <c r="H17">
        <f t="shared" si="13"/>
        <v>200</v>
      </c>
      <c r="I17">
        <f t="shared" si="13"/>
        <v>200</v>
      </c>
      <c r="J17">
        <f t="shared" si="13"/>
        <v>200</v>
      </c>
      <c r="K17">
        <f t="shared" si="13"/>
        <v>200</v>
      </c>
      <c r="L17">
        <f t="shared" si="13"/>
        <v>200</v>
      </c>
      <c r="M17">
        <f t="shared" si="13"/>
        <v>200</v>
      </c>
      <c r="N17">
        <f t="shared" si="13"/>
        <v>200</v>
      </c>
      <c r="O17">
        <f t="shared" si="13"/>
        <v>200</v>
      </c>
    </row>
    <row r="18" spans="2:15" x14ac:dyDescent="0.35">
      <c r="C18" t="s">
        <v>14</v>
      </c>
      <c r="D18" s="68" t="s">
        <v>98</v>
      </c>
      <c r="E18" s="1">
        <v>200</v>
      </c>
      <c r="F18">
        <f>E18</f>
        <v>200</v>
      </c>
      <c r="G18">
        <f t="shared" ref="G18:O18" si="14">F18</f>
        <v>200</v>
      </c>
      <c r="H18">
        <f t="shared" si="14"/>
        <v>200</v>
      </c>
      <c r="I18">
        <f t="shared" si="14"/>
        <v>200</v>
      </c>
      <c r="J18">
        <f t="shared" si="14"/>
        <v>200</v>
      </c>
      <c r="K18">
        <f t="shared" si="14"/>
        <v>200</v>
      </c>
      <c r="L18">
        <f t="shared" si="14"/>
        <v>200</v>
      </c>
      <c r="M18">
        <f t="shared" si="14"/>
        <v>200</v>
      </c>
      <c r="N18">
        <f t="shared" si="14"/>
        <v>200</v>
      </c>
      <c r="O18">
        <f t="shared" si="14"/>
        <v>200</v>
      </c>
    </row>
    <row r="19" spans="2:15" x14ac:dyDescent="0.35">
      <c r="B19" s="12" t="s">
        <v>200</v>
      </c>
      <c r="D19" s="68"/>
    </row>
    <row r="20" spans="2:15" x14ac:dyDescent="0.35">
      <c r="D20" s="68"/>
    </row>
    <row r="21" spans="2:15" x14ac:dyDescent="0.35">
      <c r="B21" s="73" t="s">
        <v>180</v>
      </c>
      <c r="C21" t="s">
        <v>16</v>
      </c>
      <c r="D21" s="68" t="s">
        <v>178</v>
      </c>
      <c r="E21" s="1">
        <v>1555</v>
      </c>
    </row>
    <row r="22" spans="2:15" x14ac:dyDescent="0.35">
      <c r="C22" t="s">
        <v>17</v>
      </c>
      <c r="D22" s="68" t="s">
        <v>178</v>
      </c>
      <c r="E22" s="1">
        <v>206000</v>
      </c>
      <c r="F22">
        <v>210000</v>
      </c>
      <c r="G22">
        <f t="shared" ref="G22:O22" si="15">F22</f>
        <v>210000</v>
      </c>
      <c r="H22">
        <f t="shared" si="15"/>
        <v>210000</v>
      </c>
      <c r="I22">
        <f t="shared" si="15"/>
        <v>210000</v>
      </c>
      <c r="J22">
        <f t="shared" si="15"/>
        <v>210000</v>
      </c>
      <c r="K22">
        <f t="shared" si="15"/>
        <v>210000</v>
      </c>
      <c r="L22">
        <f t="shared" si="15"/>
        <v>210000</v>
      </c>
      <c r="M22">
        <f t="shared" si="15"/>
        <v>210000</v>
      </c>
      <c r="N22">
        <f t="shared" si="15"/>
        <v>210000</v>
      </c>
      <c r="O22">
        <f t="shared" si="15"/>
        <v>210000</v>
      </c>
    </row>
    <row r="23" spans="2:15" x14ac:dyDescent="0.35">
      <c r="C23" t="s">
        <v>18</v>
      </c>
      <c r="D23" s="68" t="s">
        <v>178</v>
      </c>
      <c r="E23" s="1">
        <v>206000</v>
      </c>
      <c r="F23">
        <f>E23</f>
        <v>206000</v>
      </c>
      <c r="G23">
        <f t="shared" ref="G23:O23" si="16">F23</f>
        <v>206000</v>
      </c>
      <c r="H23">
        <f t="shared" si="16"/>
        <v>206000</v>
      </c>
      <c r="I23">
        <f t="shared" si="16"/>
        <v>206000</v>
      </c>
      <c r="J23">
        <f t="shared" si="16"/>
        <v>206000</v>
      </c>
      <c r="K23">
        <f t="shared" si="16"/>
        <v>206000</v>
      </c>
      <c r="L23">
        <f t="shared" si="16"/>
        <v>206000</v>
      </c>
      <c r="M23">
        <f t="shared" si="16"/>
        <v>206000</v>
      </c>
      <c r="N23">
        <f t="shared" si="16"/>
        <v>206000</v>
      </c>
      <c r="O23">
        <f t="shared" si="16"/>
        <v>206000</v>
      </c>
    </row>
    <row r="24" spans="2:15" x14ac:dyDescent="0.35">
      <c r="C24" t="s">
        <v>19</v>
      </c>
      <c r="D24" s="68" t="s">
        <v>81</v>
      </c>
      <c r="E24" s="1">
        <v>0.3</v>
      </c>
      <c r="F24">
        <f>E24</f>
        <v>0.3</v>
      </c>
      <c r="G24">
        <f t="shared" ref="G24:O24" si="17">F24</f>
        <v>0.3</v>
      </c>
      <c r="H24">
        <f t="shared" si="17"/>
        <v>0.3</v>
      </c>
      <c r="I24">
        <f t="shared" si="17"/>
        <v>0.3</v>
      </c>
      <c r="J24">
        <f t="shared" si="17"/>
        <v>0.3</v>
      </c>
      <c r="K24">
        <f t="shared" si="17"/>
        <v>0.3</v>
      </c>
      <c r="L24">
        <f t="shared" si="17"/>
        <v>0.3</v>
      </c>
      <c r="M24">
        <f t="shared" si="17"/>
        <v>0.3</v>
      </c>
      <c r="N24">
        <f t="shared" si="17"/>
        <v>0.3</v>
      </c>
      <c r="O24">
        <f t="shared" si="17"/>
        <v>0.3</v>
      </c>
    </row>
    <row r="25" spans="2:15" x14ac:dyDescent="0.35">
      <c r="C25" t="s">
        <v>20</v>
      </c>
      <c r="D25" s="68" t="s">
        <v>81</v>
      </c>
      <c r="E25" s="1">
        <v>0.3</v>
      </c>
      <c r="F25">
        <f>E25</f>
        <v>0.3</v>
      </c>
      <c r="G25">
        <f t="shared" ref="G25:O25" si="18">F25</f>
        <v>0.3</v>
      </c>
      <c r="H25">
        <f t="shared" si="18"/>
        <v>0.3</v>
      </c>
      <c r="I25">
        <f t="shared" si="18"/>
        <v>0.3</v>
      </c>
      <c r="J25">
        <f t="shared" si="18"/>
        <v>0.3</v>
      </c>
      <c r="K25">
        <f t="shared" si="18"/>
        <v>0.3</v>
      </c>
      <c r="L25">
        <f t="shared" si="18"/>
        <v>0.3</v>
      </c>
      <c r="M25">
        <f t="shared" si="18"/>
        <v>0.3</v>
      </c>
      <c r="N25">
        <f t="shared" si="18"/>
        <v>0.3</v>
      </c>
      <c r="O25">
        <f t="shared" si="18"/>
        <v>0.3</v>
      </c>
    </row>
    <row r="26" spans="2:15" x14ac:dyDescent="0.35">
      <c r="C26" t="s">
        <v>21</v>
      </c>
      <c r="D26" s="68" t="s">
        <v>95</v>
      </c>
      <c r="E26">
        <f>hertz(E22,E23,E24,E25,E4/2,E17,E6/2,E6*1000,$E$21)</f>
        <v>3557.3904055117705</v>
      </c>
      <c r="F26">
        <f t="shared" ref="F26:O26" si="19">hertz(F22,F23,F24,F25,F4,F17,F6,100000,$E$21)</f>
        <v>9319.1852735307002</v>
      </c>
      <c r="G26">
        <f t="shared" si="19"/>
        <v>10242.858281007007</v>
      </c>
      <c r="H26">
        <f t="shared" si="19"/>
        <v>11134.685770316699</v>
      </c>
      <c r="I26">
        <f t="shared" si="19"/>
        <v>11995.081169904388</v>
      </c>
      <c r="J26">
        <f t="shared" si="19"/>
        <v>12824.763669265809</v>
      </c>
      <c r="K26">
        <f t="shared" si="19"/>
        <v>13624.645391935572</v>
      </c>
      <c r="L26">
        <f t="shared" si="19"/>
        <v>14395.754465081296</v>
      </c>
      <c r="M26">
        <f t="shared" si="19"/>
        <v>15139.182149901038</v>
      </c>
      <c r="N26">
        <f t="shared" si="19"/>
        <v>15856.04639291443</v>
      </c>
      <c r="O26">
        <f t="shared" si="19"/>
        <v>16547.466745810234</v>
      </c>
    </row>
    <row r="27" spans="2:15" x14ac:dyDescent="0.35">
      <c r="D27" s="68"/>
    </row>
    <row r="28" spans="2:15" x14ac:dyDescent="0.35">
      <c r="B28" s="73" t="s">
        <v>181</v>
      </c>
      <c r="C28" t="s">
        <v>18</v>
      </c>
      <c r="D28" s="68" t="s">
        <v>178</v>
      </c>
      <c r="E28" s="1">
        <v>206000</v>
      </c>
      <c r="F28">
        <f t="shared" ref="F28:O28" si="20">E28</f>
        <v>206000</v>
      </c>
      <c r="G28">
        <f t="shared" si="20"/>
        <v>206000</v>
      </c>
      <c r="H28">
        <f t="shared" si="20"/>
        <v>206000</v>
      </c>
      <c r="I28">
        <f t="shared" si="20"/>
        <v>206000</v>
      </c>
      <c r="J28">
        <f t="shared" si="20"/>
        <v>206000</v>
      </c>
      <c r="K28">
        <f t="shared" si="20"/>
        <v>206000</v>
      </c>
      <c r="L28">
        <f t="shared" si="20"/>
        <v>206000</v>
      </c>
      <c r="M28">
        <f t="shared" si="20"/>
        <v>206000</v>
      </c>
      <c r="N28">
        <f t="shared" si="20"/>
        <v>206000</v>
      </c>
      <c r="O28">
        <f t="shared" si="20"/>
        <v>206000</v>
      </c>
    </row>
    <row r="29" spans="2:15" x14ac:dyDescent="0.35">
      <c r="C29" t="s">
        <v>23</v>
      </c>
      <c r="D29" s="68" t="s">
        <v>178</v>
      </c>
      <c r="E29" s="1">
        <v>206000</v>
      </c>
      <c r="F29">
        <f t="shared" ref="F29:O29" si="21">E29</f>
        <v>206000</v>
      </c>
      <c r="G29">
        <f t="shared" si="21"/>
        <v>206000</v>
      </c>
      <c r="H29">
        <f t="shared" si="21"/>
        <v>206000</v>
      </c>
      <c r="I29">
        <f t="shared" si="21"/>
        <v>206000</v>
      </c>
      <c r="J29">
        <f t="shared" si="21"/>
        <v>206000</v>
      </c>
      <c r="K29">
        <f t="shared" si="21"/>
        <v>206000</v>
      </c>
      <c r="L29">
        <f t="shared" si="21"/>
        <v>206000</v>
      </c>
      <c r="M29">
        <f t="shared" si="21"/>
        <v>206000</v>
      </c>
      <c r="N29">
        <f t="shared" si="21"/>
        <v>206000</v>
      </c>
      <c r="O29">
        <f t="shared" si="21"/>
        <v>206000</v>
      </c>
    </row>
    <row r="30" spans="2:15" x14ac:dyDescent="0.35">
      <c r="C30" t="s">
        <v>20</v>
      </c>
      <c r="D30" s="68" t="s">
        <v>81</v>
      </c>
      <c r="E30" s="1">
        <v>0.3</v>
      </c>
      <c r="F30">
        <f t="shared" ref="F30:O30" si="22">E30</f>
        <v>0.3</v>
      </c>
      <c r="G30">
        <f t="shared" si="22"/>
        <v>0.3</v>
      </c>
      <c r="H30">
        <f t="shared" si="22"/>
        <v>0.3</v>
      </c>
      <c r="I30">
        <f t="shared" si="22"/>
        <v>0.3</v>
      </c>
      <c r="J30">
        <f t="shared" si="22"/>
        <v>0.3</v>
      </c>
      <c r="K30">
        <f t="shared" si="22"/>
        <v>0.3</v>
      </c>
      <c r="L30">
        <f t="shared" si="22"/>
        <v>0.3</v>
      </c>
      <c r="M30">
        <f t="shared" si="22"/>
        <v>0.3</v>
      </c>
      <c r="N30">
        <f t="shared" si="22"/>
        <v>0.3</v>
      </c>
      <c r="O30">
        <f t="shared" si="22"/>
        <v>0.3</v>
      </c>
    </row>
    <row r="31" spans="2:15" x14ac:dyDescent="0.35">
      <c r="C31" t="s">
        <v>24</v>
      </c>
      <c r="D31" s="68" t="s">
        <v>81</v>
      </c>
      <c r="E31" s="1">
        <v>0.3</v>
      </c>
      <c r="F31">
        <f t="shared" ref="F31:O31" si="23">E31</f>
        <v>0.3</v>
      </c>
      <c r="G31">
        <f t="shared" si="23"/>
        <v>0.3</v>
      </c>
      <c r="H31">
        <f t="shared" si="23"/>
        <v>0.3</v>
      </c>
      <c r="I31">
        <f t="shared" si="23"/>
        <v>0.3</v>
      </c>
      <c r="J31">
        <f t="shared" si="23"/>
        <v>0.3</v>
      </c>
      <c r="K31">
        <f t="shared" si="23"/>
        <v>0.3</v>
      </c>
      <c r="L31">
        <f t="shared" si="23"/>
        <v>0.3</v>
      </c>
      <c r="M31">
        <f t="shared" si="23"/>
        <v>0.3</v>
      </c>
      <c r="N31">
        <f t="shared" si="23"/>
        <v>0.3</v>
      </c>
      <c r="O31">
        <f t="shared" si="23"/>
        <v>0.3</v>
      </c>
    </row>
    <row r="32" spans="2:15" x14ac:dyDescent="0.35">
      <c r="C32" t="s">
        <v>21</v>
      </c>
      <c r="D32" s="68" t="s">
        <v>95</v>
      </c>
      <c r="E32">
        <f>hertz(E29,E28,E31,E30,E5/2,E17,E7/2,E7/2*1000,$E$21)</f>
        <v>20556.105137083978</v>
      </c>
      <c r="F32">
        <f t="shared" ref="F32:O32" si="24">hertz(F29,F28,F31,F30,F5/2,F17,F7/2,F7/2*1000,$E$21)</f>
        <v>18811.250799406422</v>
      </c>
      <c r="G32">
        <f t="shared" si="24"/>
        <v>17152.658111661975</v>
      </c>
      <c r="H32">
        <f t="shared" si="24"/>
        <v>15576.522166694474</v>
      </c>
      <c r="I32">
        <f t="shared" si="24"/>
        <v>14079.426153318382</v>
      </c>
      <c r="J32">
        <f t="shared" si="24"/>
        <v>12658.320036574585</v>
      </c>
      <c r="K32">
        <f t="shared" si="24"/>
        <v>11310.505796524831</v>
      </c>
      <c r="L32">
        <f t="shared" si="24"/>
        <v>10033.629727407873</v>
      </c>
      <c r="M32">
        <f t="shared" si="24"/>
        <v>8825.6828420565271</v>
      </c>
      <c r="N32">
        <f t="shared" si="24"/>
        <v>7685.0112325587752</v>
      </c>
      <c r="O32">
        <f t="shared" si="24"/>
        <v>6610.3395153147803</v>
      </c>
    </row>
    <row r="33" spans="1:15" x14ac:dyDescent="0.35">
      <c r="C33" t="s">
        <v>25</v>
      </c>
      <c r="D33" s="68"/>
      <c r="E33" s="10">
        <v>2</v>
      </c>
      <c r="F33" s="89" t="s">
        <v>175</v>
      </c>
      <c r="G33" s="89"/>
      <c r="H33" s="89"/>
      <c r="I33" s="89"/>
      <c r="J33" s="89"/>
      <c r="K33" s="89"/>
      <c r="L33" s="89"/>
      <c r="M33" s="89"/>
      <c r="N33" s="89"/>
      <c r="O33" s="89"/>
    </row>
    <row r="34" spans="1:15" x14ac:dyDescent="0.35">
      <c r="B34" s="74" t="s">
        <v>54</v>
      </c>
      <c r="C34" t="s">
        <v>26</v>
      </c>
      <c r="D34" s="68" t="s">
        <v>95</v>
      </c>
      <c r="E34" s="1">
        <f>MIN($E$26:$O$26,$E$32:$O$32)</f>
        <v>3557.3904055117705</v>
      </c>
      <c r="F34">
        <f>($O$34-$E$34)/10+E34</f>
        <v>3862.6853164920713</v>
      </c>
      <c r="G34">
        <f t="shared" ref="G34:N34" si="25">($O$34-$E$34)/10+F34</f>
        <v>4167.9802274723725</v>
      </c>
      <c r="H34">
        <f t="shared" si="25"/>
        <v>4473.2751384526737</v>
      </c>
      <c r="I34">
        <f t="shared" si="25"/>
        <v>4778.5700494329749</v>
      </c>
      <c r="J34">
        <f t="shared" si="25"/>
        <v>5083.8649604132761</v>
      </c>
      <c r="K34">
        <f t="shared" si="25"/>
        <v>5389.1598713935773</v>
      </c>
      <c r="L34">
        <f t="shared" si="25"/>
        <v>5694.4547823738785</v>
      </c>
      <c r="M34">
        <f t="shared" si="25"/>
        <v>5999.7496933541797</v>
      </c>
      <c r="N34">
        <f t="shared" si="25"/>
        <v>6305.0446043344809</v>
      </c>
      <c r="O34">
        <f>MIN(O26,O32)</f>
        <v>6610.3395153147803</v>
      </c>
    </row>
    <row r="35" spans="1:15" ht="15" thickBot="1" x14ac:dyDescent="0.4">
      <c r="C35" t="s">
        <v>174</v>
      </c>
      <c r="D35" s="68" t="s">
        <v>95</v>
      </c>
      <c r="E35" s="18">
        <f>IF($E$33=0,MIN($E$26:$O$26,$E$32:$O$32),IF($E$33=2,E34,MIN(E26,E32)))</f>
        <v>3557.3904055117705</v>
      </c>
      <c r="F35" s="18">
        <f t="shared" ref="F35:O35" si="26">IF($E$33=0,MIN($E$26:$O$26,$E$32:$O$32),IF($E$33=2,F34,MIN(F26,F32)))</f>
        <v>3862.6853164920713</v>
      </c>
      <c r="G35" s="18">
        <f t="shared" si="26"/>
        <v>4167.9802274723725</v>
      </c>
      <c r="H35" s="18">
        <f t="shared" si="26"/>
        <v>4473.2751384526737</v>
      </c>
      <c r="I35" s="18">
        <f t="shared" si="26"/>
        <v>4778.5700494329749</v>
      </c>
      <c r="J35" s="18">
        <f t="shared" si="26"/>
        <v>5083.8649604132761</v>
      </c>
      <c r="K35" s="18">
        <f t="shared" si="26"/>
        <v>5389.1598713935773</v>
      </c>
      <c r="L35" s="18">
        <f t="shared" si="26"/>
        <v>5694.4547823738785</v>
      </c>
      <c r="M35" s="18">
        <f t="shared" si="26"/>
        <v>5999.7496933541797</v>
      </c>
      <c r="N35" s="18">
        <f t="shared" si="26"/>
        <v>6305.0446043344809</v>
      </c>
      <c r="O35" s="18">
        <f t="shared" si="26"/>
        <v>6610.3395153147803</v>
      </c>
    </row>
    <row r="36" spans="1:15" ht="15.65" customHeight="1" thickTop="1" thickBot="1" x14ac:dyDescent="0.4">
      <c r="A36" s="98" t="s">
        <v>27</v>
      </c>
      <c r="B36" s="98"/>
      <c r="C36" t="s">
        <v>15</v>
      </c>
      <c r="D36" s="68" t="s">
        <v>178</v>
      </c>
      <c r="E36" s="8">
        <f>hertz2(E22,E23,E24,E25,E4/2,E17,E6/2,E6*1000,E35)</f>
        <v>1554.9999999999993</v>
      </c>
      <c r="F36" s="8">
        <f t="shared" ref="F36:O36" si="27">hertz2(F22,F23,F24,F25,F4/2,F17,F6/2,F6*1000,F35)</f>
        <v>1549.1985160367738</v>
      </c>
      <c r="G36" s="8">
        <f t="shared" si="27"/>
        <v>1537.5609751121519</v>
      </c>
      <c r="H36" s="8">
        <f t="shared" si="27"/>
        <v>1529.0314345120989</v>
      </c>
      <c r="I36" s="8">
        <f t="shared" si="27"/>
        <v>1522.9036619612641</v>
      </c>
      <c r="J36" s="8">
        <f t="shared" si="27"/>
        <v>1518.6675014579196</v>
      </c>
      <c r="K36" s="8">
        <f t="shared" si="27"/>
        <v>1515.9449229582397</v>
      </c>
      <c r="L36" s="8">
        <f t="shared" si="27"/>
        <v>1514.44969268004</v>
      </c>
      <c r="M36" s="8">
        <f t="shared" si="27"/>
        <v>1513.9610372414747</v>
      </c>
      <c r="N36" s="8">
        <f t="shared" si="27"/>
        <v>1514.3059246553541</v>
      </c>
      <c r="O36" s="8">
        <f t="shared" si="27"/>
        <v>1515.3468303185473</v>
      </c>
    </row>
    <row r="37" spans="1:15" ht="15.5" thickTop="1" thickBot="1" x14ac:dyDescent="0.4">
      <c r="A37" s="98"/>
      <c r="B37" s="98"/>
      <c r="C37" t="s">
        <v>22</v>
      </c>
      <c r="D37" s="68" t="s">
        <v>178</v>
      </c>
      <c r="E37" s="8">
        <f>hertz2(E28,E29,E30,E31,E5/2,E18,E7/2,E7*1000,E35)</f>
        <v>866.06743838709531</v>
      </c>
      <c r="F37" s="8">
        <f t="shared" ref="F37:N37" si="28">hertz2(F28,F29,F30,F31,F5/2,F18,F7/2,F7*1000,F35)</f>
        <v>916.85754609564094</v>
      </c>
      <c r="G37" s="8">
        <f t="shared" si="28"/>
        <v>969.76096549123997</v>
      </c>
      <c r="H37" s="8">
        <f t="shared" si="28"/>
        <v>1025.2715540053509</v>
      </c>
      <c r="I37" s="8">
        <f t="shared" si="28"/>
        <v>1083.9529693962743</v>
      </c>
      <c r="J37" s="8">
        <f t="shared" si="28"/>
        <v>1146.4689445829267</v>
      </c>
      <c r="K37" s="8">
        <f t="shared" si="28"/>
        <v>1213.6228206840517</v>
      </c>
      <c r="L37" s="8">
        <f t="shared" si="28"/>
        <v>1286.411991649964</v>
      </c>
      <c r="M37" s="8">
        <f t="shared" si="28"/>
        <v>1366.1061601763686</v>
      </c>
      <c r="N37" s="8">
        <f t="shared" si="28"/>
        <v>1454.3642802150111</v>
      </c>
      <c r="O37" s="8">
        <f>hertz2(O28,O29,O30,O31,O5/2,O18,O7/2,O7*1000,O35)</f>
        <v>1553.4163723729046</v>
      </c>
    </row>
    <row r="38" spans="1:15" ht="19.5" thickTop="1" thickBot="1" x14ac:dyDescent="0.4">
      <c r="A38" s="15"/>
      <c r="B38" s="16"/>
      <c r="C38" t="s">
        <v>56</v>
      </c>
      <c r="D38" s="68" t="s">
        <v>98</v>
      </c>
      <c r="E38" s="17">
        <f>elipsaa(E22,E23,E24,E25,E4/2,E17,E6/2,E6*10000,E35)</f>
        <v>2.3495260555902715</v>
      </c>
      <c r="F38" s="17">
        <f t="shared" ref="F38:O38" si="29">elipsaa(F22,F23,F24,F25,F4/2,F17,F6/2,F6*10000,F35)</f>
        <v>2.3818801135149057</v>
      </c>
      <c r="G38" s="17">
        <f t="shared" si="29"/>
        <v>2.4202953258562676</v>
      </c>
      <c r="H38" s="17">
        <f t="shared" si="29"/>
        <v>2.4573690544026738</v>
      </c>
      <c r="I38" s="17">
        <f t="shared" si="29"/>
        <v>2.4931890402438865</v>
      </c>
      <c r="J38" s="17">
        <f t="shared" si="29"/>
        <v>2.5278423604742835</v>
      </c>
      <c r="K38" s="17">
        <f t="shared" si="29"/>
        <v>2.5614116194189807</v>
      </c>
      <c r="L38" s="17">
        <f t="shared" si="29"/>
        <v>2.5939734140695334</v>
      </c>
      <c r="M38" s="17">
        <f t="shared" si="29"/>
        <v>2.6255979277734056</v>
      </c>
      <c r="N38" s="17">
        <f t="shared" si="29"/>
        <v>2.6563490743021085</v>
      </c>
      <c r="O38" s="17">
        <f t="shared" si="29"/>
        <v>2.6862848952323795</v>
      </c>
    </row>
    <row r="39" spans="1:15" ht="19.5" thickTop="1" thickBot="1" x14ac:dyDescent="0.4">
      <c r="A39" s="15"/>
      <c r="B39" s="16"/>
      <c r="C39" t="s">
        <v>57</v>
      </c>
      <c r="D39" s="68" t="s">
        <v>98</v>
      </c>
      <c r="E39" s="17">
        <f>elipsab(E22,E23,E24,E25,E4/2,E17,E6/2,E6*1000,E35)</f>
        <v>0.46576182935386118</v>
      </c>
      <c r="F39" s="17">
        <f t="shared" ref="F39:O39" si="30">elipsab(F22,F23,F24,F25,F4/2,F17,F6/2,F6*1000,F35)</f>
        <v>0.5006362102085089</v>
      </c>
      <c r="G39" s="17">
        <f t="shared" si="30"/>
        <v>0.5355715291956632</v>
      </c>
      <c r="H39" s="17">
        <f t="shared" si="30"/>
        <v>0.5692141052769526</v>
      </c>
      <c r="I39" s="17">
        <f t="shared" si="30"/>
        <v>0.60167272172748643</v>
      </c>
      <c r="J39" s="17">
        <f t="shared" si="30"/>
        <v>0.63304034320746427</v>
      </c>
      <c r="K39" s="17">
        <f t="shared" si="30"/>
        <v>0.66339756896877489</v>
      </c>
      <c r="L39" s="17">
        <f t="shared" si="30"/>
        <v>0.69281509053737977</v>
      </c>
      <c r="M39" s="17">
        <f t="shared" si="30"/>
        <v>0.72135549894388473</v>
      </c>
      <c r="N39" s="17">
        <f t="shared" si="30"/>
        <v>0.74907465077236068</v>
      </c>
      <c r="O39" s="17">
        <f t="shared" si="30"/>
        <v>0.77602272516897064</v>
      </c>
    </row>
    <row r="40" spans="1:15" ht="19.5" thickTop="1" thickBot="1" x14ac:dyDescent="0.4">
      <c r="A40" s="15"/>
      <c r="B40" s="16"/>
      <c r="C40" t="s">
        <v>58</v>
      </c>
      <c r="D40" s="68" t="s">
        <v>98</v>
      </c>
      <c r="E40" s="17">
        <f>elipsaa(E28,E29,E30,E31,E5/2,E18,E7/2,E7*1000,E35)</f>
        <v>1.9525023171339499</v>
      </c>
      <c r="F40" s="17">
        <f t="shared" ref="F40:O40" si="31">elipsaa(F28,F29,F30,F31,F5/2,F18,F7/2,F7*1000,F35)</f>
        <v>2.028350540325957</v>
      </c>
      <c r="G40" s="17">
        <f t="shared" si="31"/>
        <v>2.1031802964885133</v>
      </c>
      <c r="H40" s="17">
        <f t="shared" si="31"/>
        <v>2.1774051025801757</v>
      </c>
      <c r="I40" s="17">
        <f t="shared" si="31"/>
        <v>2.2514167233625177</v>
      </c>
      <c r="J40" s="17">
        <f t="shared" si="31"/>
        <v>2.3256040177143333</v>
      </c>
      <c r="K40" s="17">
        <f t="shared" si="31"/>
        <v>2.4003712724768795</v>
      </c>
      <c r="L40" s="17">
        <f t="shared" si="31"/>
        <v>2.4761582932606476</v>
      </c>
      <c r="M40" s="17">
        <f t="shared" si="31"/>
        <v>2.5534649044680666</v>
      </c>
      <c r="N40" s="17">
        <f t="shared" si="31"/>
        <v>2.6328835800683992</v>
      </c>
      <c r="O40" s="17">
        <f t="shared" si="31"/>
        <v>2.7151461248883302</v>
      </c>
    </row>
    <row r="41" spans="1:15" ht="19.5" thickTop="1" thickBot="1" x14ac:dyDescent="0.4">
      <c r="A41" s="15"/>
      <c r="B41" s="16"/>
      <c r="C41" t="s">
        <v>59</v>
      </c>
      <c r="D41" s="68" t="s">
        <v>98</v>
      </c>
      <c r="E41" s="17">
        <f>elipsab(E28,E29,E30,E31,E5/2,E18,E7/2,E7*1000,E35)</f>
        <v>1.004453910676971</v>
      </c>
      <c r="F41" s="17">
        <f t="shared" ref="F41:O41" si="32">elipsab(F28,F29,F30,F31,F5/2,F18,F7/2,F7*1000,F35)</f>
        <v>0.99171345614826789</v>
      </c>
      <c r="G41" s="17">
        <f t="shared" si="32"/>
        <v>0.97572223009785808</v>
      </c>
      <c r="H41" s="17">
        <f t="shared" si="32"/>
        <v>0.9567296204592507</v>
      </c>
      <c r="I41" s="17">
        <f t="shared" si="32"/>
        <v>0.93491770185648781</v>
      </c>
      <c r="J41" s="17">
        <f t="shared" si="32"/>
        <v>0.91041141663571024</v>
      </c>
      <c r="K41" s="17">
        <f t="shared" si="32"/>
        <v>0.88328461451125595</v>
      </c>
      <c r="L41" s="17">
        <f t="shared" si="32"/>
        <v>0.85356267882218928</v>
      </c>
      <c r="M41" s="17">
        <f t="shared" si="32"/>
        <v>0.82122193799822252</v>
      </c>
      <c r="N41" s="17">
        <f t="shared" si="32"/>
        <v>0.78618555652011812</v>
      </c>
      <c r="O41" s="17">
        <f t="shared" si="32"/>
        <v>0.74831497014911075</v>
      </c>
    </row>
    <row r="42" spans="1:15" ht="20.5" thickTop="1" thickBot="1" x14ac:dyDescent="0.5">
      <c r="C42" t="s">
        <v>28</v>
      </c>
      <c r="D42" s="68" t="s">
        <v>95</v>
      </c>
      <c r="E42" s="19">
        <f>E35*SIN(15*PI()/180)*$E$49</f>
        <v>3682.8815512457018</v>
      </c>
      <c r="F42" s="19">
        <f t="shared" ref="F42:O42" si="33">F35*SIN(15*PI()/180)*$E$49</f>
        <v>3998.946100584024</v>
      </c>
      <c r="G42" s="19">
        <f t="shared" si="33"/>
        <v>4315.0106499223466</v>
      </c>
      <c r="H42" s="19">
        <f t="shared" si="33"/>
        <v>4631.0751992606693</v>
      </c>
      <c r="I42" s="19">
        <f t="shared" si="33"/>
        <v>4947.1397485989919</v>
      </c>
      <c r="J42" s="19">
        <f t="shared" si="33"/>
        <v>5263.2042979373136</v>
      </c>
      <c r="K42" s="19">
        <f t="shared" si="33"/>
        <v>5579.2688472756363</v>
      </c>
      <c r="L42" s="19">
        <f t="shared" si="33"/>
        <v>5895.3333966139589</v>
      </c>
      <c r="M42" s="19">
        <f t="shared" si="33"/>
        <v>6211.3979459522816</v>
      </c>
      <c r="N42" s="19">
        <f t="shared" si="33"/>
        <v>6527.4624952906042</v>
      </c>
      <c r="O42" s="19">
        <f t="shared" si="33"/>
        <v>6843.5270446289251</v>
      </c>
    </row>
    <row r="43" spans="1:15" ht="15" thickTop="1" x14ac:dyDescent="0.35">
      <c r="B43" s="12" t="s">
        <v>182</v>
      </c>
      <c r="C43" s="1" t="s">
        <v>29</v>
      </c>
      <c r="D43" s="70"/>
      <c r="E43" s="1">
        <v>50</v>
      </c>
    </row>
    <row r="44" spans="1:15" x14ac:dyDescent="0.35">
      <c r="C44" t="s">
        <v>60</v>
      </c>
      <c r="D44" s="68" t="s">
        <v>88</v>
      </c>
      <c r="E44">
        <f>4*PI()*E12*SIN(15/180*PI())/60</f>
        <v>78.600054367976426</v>
      </c>
      <c r="F44">
        <f t="shared" ref="F44:O44" si="34">4*PI()*F12*SIN(15/180*PI())/60</f>
        <v>78.600054367976426</v>
      </c>
      <c r="G44">
        <f t="shared" si="34"/>
        <v>78.600054367976426</v>
      </c>
      <c r="H44">
        <f t="shared" si="34"/>
        <v>78.600054367976426</v>
      </c>
      <c r="I44">
        <f t="shared" si="34"/>
        <v>78.600054367976426</v>
      </c>
      <c r="J44">
        <f t="shared" si="34"/>
        <v>78.600054367976426</v>
      </c>
      <c r="K44">
        <f t="shared" si="34"/>
        <v>78.600054367976426</v>
      </c>
      <c r="L44">
        <f t="shared" si="34"/>
        <v>78.600054367976426</v>
      </c>
      <c r="M44">
        <f t="shared" si="34"/>
        <v>78.600054367976426</v>
      </c>
      <c r="N44">
        <f t="shared" si="34"/>
        <v>78.600054367976426</v>
      </c>
      <c r="O44">
        <f t="shared" si="34"/>
        <v>78.600054367976426</v>
      </c>
    </row>
    <row r="45" spans="1:15" x14ac:dyDescent="0.35">
      <c r="C45" t="s">
        <v>61</v>
      </c>
      <c r="D45" s="68" t="s">
        <v>88</v>
      </c>
      <c r="E45">
        <f>4*PI()*E13*SIN(15/180*PI())/60</f>
        <v>98.250067959970551</v>
      </c>
      <c r="F45">
        <f t="shared" ref="F45:O45" si="35">4*PI()*F13*SIN(15/180*PI())/60</f>
        <v>83.355283645888363</v>
      </c>
      <c r="G45">
        <f t="shared" si="35"/>
        <v>71.30243432870094</v>
      </c>
      <c r="H45">
        <f t="shared" si="35"/>
        <v>61.348992668628583</v>
      </c>
      <c r="I45">
        <f t="shared" si="35"/>
        <v>52.990380001300281</v>
      </c>
      <c r="J45">
        <f t="shared" si="35"/>
        <v>45.871720471376982</v>
      </c>
      <c r="K45">
        <f t="shared" si="35"/>
        <v>39.736155722404852</v>
      </c>
      <c r="L45">
        <f t="shared" si="35"/>
        <v>34.393189879874349</v>
      </c>
      <c r="M45">
        <f t="shared" si="35"/>
        <v>29.698557920727822</v>
      </c>
      <c r="N45">
        <f t="shared" si="35"/>
        <v>25.541003366509191</v>
      </c>
      <c r="O45">
        <f t="shared" si="35"/>
        <v>21.833348435549006</v>
      </c>
    </row>
    <row r="46" spans="1:15" x14ac:dyDescent="0.35">
      <c r="C46" t="s">
        <v>62</v>
      </c>
      <c r="D46" s="68" t="s">
        <v>81</v>
      </c>
      <c r="E46">
        <f>treni50(E36,$E$43,E15,E38,E39,E44)</f>
        <v>9.3478972283347034E-2</v>
      </c>
      <c r="F46">
        <f t="shared" ref="F46:O46" si="36">treni50(F36,$E$43,F15,F38,F39,F44)</f>
        <v>9.315245478074094E-2</v>
      </c>
      <c r="G46">
        <f t="shared" si="36"/>
        <v>9.2709297691537088E-2</v>
      </c>
      <c r="H46">
        <f t="shared" si="36"/>
        <v>9.2319316513335026E-2</v>
      </c>
      <c r="I46">
        <f t="shared" si="36"/>
        <v>9.1973163851460676E-2</v>
      </c>
      <c r="J46">
        <f t="shared" si="36"/>
        <v>9.1663579480145252E-2</v>
      </c>
      <c r="K46">
        <f t="shared" si="36"/>
        <v>9.1384837349833964E-2</v>
      </c>
      <c r="L46">
        <f t="shared" si="36"/>
        <v>9.1132357800999597E-2</v>
      </c>
      <c r="M46">
        <f t="shared" si="36"/>
        <v>9.090243140247084E-2</v>
      </c>
      <c r="N46">
        <f t="shared" si="36"/>
        <v>9.0692019097503893E-2</v>
      </c>
      <c r="O46">
        <f t="shared" si="36"/>
        <v>9.0498605287781878E-2</v>
      </c>
    </row>
    <row r="47" spans="1:15" x14ac:dyDescent="0.35">
      <c r="C47" t="s">
        <v>63</v>
      </c>
      <c r="D47" s="68" t="s">
        <v>81</v>
      </c>
      <c r="E47">
        <f>treni50(E37,$E$43,E16,E40,E41,E45)</f>
        <v>7.0932178349488437E-2</v>
      </c>
      <c r="F47">
        <f t="shared" ref="F47:O47" si="37">treni50(F37,$E$43,F16,F40,F41,F45)</f>
        <v>7.4803918272456277E-2</v>
      </c>
      <c r="G47">
        <f t="shared" si="37"/>
        <v>7.8305664268446901E-2</v>
      </c>
      <c r="H47">
        <f t="shared" si="37"/>
        <v>8.1523577309241771E-2</v>
      </c>
      <c r="I47">
        <f t="shared" si="37"/>
        <v>8.4523179944799742E-2</v>
      </c>
      <c r="J47">
        <f t="shared" si="37"/>
        <v>8.7354655637312942E-2</v>
      </c>
      <c r="K47">
        <f t="shared" si="37"/>
        <v>9.0056545637735963E-2</v>
      </c>
      <c r="L47">
        <f t="shared" si="37"/>
        <v>9.265806851950735E-2</v>
      </c>
      <c r="M47">
        <f t="shared" si="37"/>
        <v>9.5180203897403851E-2</v>
      </c>
      <c r="N47">
        <f t="shared" si="37"/>
        <v>9.7635446584300803E-2</v>
      </c>
      <c r="O47">
        <f t="shared" si="37"/>
        <v>0.10002573712098367</v>
      </c>
    </row>
    <row r="48" spans="1:15" x14ac:dyDescent="0.35">
      <c r="B48" s="12" t="s">
        <v>183</v>
      </c>
      <c r="D48" s="68"/>
    </row>
    <row r="49" spans="1:15" x14ac:dyDescent="0.35">
      <c r="C49" s="1" t="s">
        <v>30</v>
      </c>
      <c r="D49" s="70" t="s">
        <v>81</v>
      </c>
      <c r="E49" s="1">
        <v>4</v>
      </c>
    </row>
    <row r="50" spans="1:15" x14ac:dyDescent="0.35">
      <c r="C50" t="s">
        <v>31</v>
      </c>
      <c r="D50" s="68" t="s">
        <v>179</v>
      </c>
      <c r="E50">
        <f t="shared" ref="E50:O50" si="38">E35*E46*E4/2000*$E$49*2</f>
        <v>232.7788393825156</v>
      </c>
      <c r="F50">
        <f t="shared" si="38"/>
        <v>251.87303349373175</v>
      </c>
      <c r="G50">
        <f t="shared" si="38"/>
        <v>270.48736377682366</v>
      </c>
      <c r="H50">
        <f t="shared" si="38"/>
        <v>289.07879235063149</v>
      </c>
      <c r="I50">
        <f t="shared" si="38"/>
        <v>307.65014429252705</v>
      </c>
      <c r="J50">
        <f t="shared" si="38"/>
        <v>326.20368190561749</v>
      </c>
      <c r="K50">
        <f t="shared" si="38"/>
        <v>344.74124880968799</v>
      </c>
      <c r="L50">
        <f t="shared" si="38"/>
        <v>363.26436349623668</v>
      </c>
      <c r="M50">
        <f t="shared" si="38"/>
        <v>381.7742844524866</v>
      </c>
      <c r="N50">
        <f t="shared" si="38"/>
        <v>400.27205796684166</v>
      </c>
      <c r="O50">
        <f t="shared" si="38"/>
        <v>418.75855463028978</v>
      </c>
    </row>
    <row r="51" spans="1:15" x14ac:dyDescent="0.35">
      <c r="C51" t="s">
        <v>32</v>
      </c>
      <c r="D51" s="68" t="s">
        <v>179</v>
      </c>
      <c r="E51">
        <f t="shared" ref="E51:O51" si="39">E35*E47*ABS(E5)/2000*$E$49*2</f>
        <v>322.98681689922546</v>
      </c>
      <c r="F51">
        <f t="shared" si="39"/>
        <v>369.84831581067499</v>
      </c>
      <c r="G51">
        <f t="shared" si="39"/>
        <v>417.76186927356997</v>
      </c>
      <c r="H51">
        <f t="shared" si="39"/>
        <v>466.78706121619939</v>
      </c>
      <c r="I51">
        <f t="shared" si="39"/>
        <v>516.99191829382903</v>
      </c>
      <c r="J51">
        <f t="shared" si="39"/>
        <v>568.44706934208421</v>
      </c>
      <c r="K51">
        <f t="shared" si="39"/>
        <v>621.22127604123</v>
      </c>
      <c r="L51">
        <f t="shared" si="39"/>
        <v>675.37559220023695</v>
      </c>
      <c r="M51">
        <f t="shared" si="39"/>
        <v>730.95347090795144</v>
      </c>
      <c r="N51">
        <f t="shared" si="39"/>
        <v>787.96268246801048</v>
      </c>
      <c r="O51">
        <f t="shared" si="39"/>
        <v>846.34122577833841</v>
      </c>
    </row>
    <row r="52" spans="1:15" x14ac:dyDescent="0.35">
      <c r="C52" t="s">
        <v>33</v>
      </c>
      <c r="D52" s="68" t="s">
        <v>179</v>
      </c>
      <c r="E52">
        <f>E51/E11</f>
        <v>403.73352112403194</v>
      </c>
      <c r="F52">
        <f t="shared" ref="F52:O52" si="40">F51/F11</f>
        <v>392.22379066080288</v>
      </c>
      <c r="G52">
        <f t="shared" si="40"/>
        <v>378.97477919621127</v>
      </c>
      <c r="H52">
        <f t="shared" si="40"/>
        <v>364.33710162967355</v>
      </c>
      <c r="I52">
        <f t="shared" si="40"/>
        <v>348.54426537334325</v>
      </c>
      <c r="J52">
        <f t="shared" si="40"/>
        <v>331.75098003821972</v>
      </c>
      <c r="K52">
        <f t="shared" si="40"/>
        <v>314.05761180875993</v>
      </c>
      <c r="L52">
        <f t="shared" si="40"/>
        <v>295.52550783271613</v>
      </c>
      <c r="M52">
        <f t="shared" si="40"/>
        <v>276.18637375855695</v>
      </c>
      <c r="N52">
        <f t="shared" si="40"/>
        <v>256.04762855989355</v>
      </c>
      <c r="O52">
        <f t="shared" si="40"/>
        <v>235.0947849384273</v>
      </c>
    </row>
    <row r="53" spans="1:15" x14ac:dyDescent="0.35">
      <c r="C53" t="s">
        <v>34</v>
      </c>
      <c r="D53" s="68" t="s">
        <v>179</v>
      </c>
      <c r="E53">
        <f>MIN(E52,E50)</f>
        <v>232.7788393825156</v>
      </c>
      <c r="F53">
        <f t="shared" ref="F53:O53" si="41">MIN(F52,F50)</f>
        <v>251.87303349373175</v>
      </c>
      <c r="G53">
        <f t="shared" si="41"/>
        <v>270.48736377682366</v>
      </c>
      <c r="H53">
        <f t="shared" si="41"/>
        <v>289.07879235063149</v>
      </c>
      <c r="I53">
        <f t="shared" si="41"/>
        <v>307.65014429252705</v>
      </c>
      <c r="J53">
        <f t="shared" si="41"/>
        <v>326.20368190561749</v>
      </c>
      <c r="K53">
        <f t="shared" si="41"/>
        <v>314.05761180875993</v>
      </c>
      <c r="L53">
        <f t="shared" si="41"/>
        <v>295.52550783271613</v>
      </c>
      <c r="M53">
        <f t="shared" si="41"/>
        <v>276.18637375855695</v>
      </c>
      <c r="N53">
        <f t="shared" si="41"/>
        <v>256.04762855989355</v>
      </c>
      <c r="O53">
        <f t="shared" si="41"/>
        <v>235.0947849384273</v>
      </c>
    </row>
    <row r="54" spans="1:15" x14ac:dyDescent="0.35">
      <c r="C54" t="s">
        <v>35</v>
      </c>
      <c r="D54" s="68" t="s">
        <v>179</v>
      </c>
      <c r="E54">
        <f>E53*E11</f>
        <v>186.22307150601245</v>
      </c>
      <c r="F54">
        <f t="shared" ref="F54:O54" si="42">F53*F11</f>
        <v>237.50425000696396</v>
      </c>
      <c r="G54">
        <f t="shared" si="42"/>
        <v>298.17104701783188</v>
      </c>
      <c r="H54">
        <f t="shared" si="42"/>
        <v>370.36645276504316</v>
      </c>
      <c r="I54">
        <f t="shared" si="42"/>
        <v>456.33411323178018</v>
      </c>
      <c r="J54">
        <f t="shared" si="42"/>
        <v>558.94191169076009</v>
      </c>
      <c r="K54">
        <f t="shared" si="42"/>
        <v>621.22127604123</v>
      </c>
      <c r="L54">
        <f t="shared" si="42"/>
        <v>675.37559220023695</v>
      </c>
      <c r="M54">
        <f t="shared" si="42"/>
        <v>730.95347090795133</v>
      </c>
      <c r="N54">
        <f t="shared" si="42"/>
        <v>787.96268246801048</v>
      </c>
      <c r="O54">
        <f t="shared" si="42"/>
        <v>846.34122577833841</v>
      </c>
    </row>
    <row r="55" spans="1:15" x14ac:dyDescent="0.35">
      <c r="D55" s="68"/>
    </row>
    <row r="56" spans="1:15" x14ac:dyDescent="0.35">
      <c r="C56" t="s">
        <v>36</v>
      </c>
      <c r="D56" s="68" t="s">
        <v>67</v>
      </c>
      <c r="E56">
        <f>E53*E12*2*PI()/60</f>
        <v>35345.987432904687</v>
      </c>
      <c r="F56">
        <f t="shared" ref="F56:O56" si="43">F53*F12*2*PI()/60</f>
        <v>38245.319463628708</v>
      </c>
      <c r="G56">
        <f t="shared" si="43"/>
        <v>41071.787221623388</v>
      </c>
      <c r="H56">
        <f t="shared" si="43"/>
        <v>43894.777500605407</v>
      </c>
      <c r="I56">
        <f t="shared" si="43"/>
        <v>46714.719270620066</v>
      </c>
      <c r="J56">
        <f t="shared" si="43"/>
        <v>49531.956048017106</v>
      </c>
      <c r="K56">
        <f t="shared" si="43"/>
        <v>47687.65249301384</v>
      </c>
      <c r="L56">
        <f t="shared" si="43"/>
        <v>44873.670277189936</v>
      </c>
      <c r="M56">
        <f t="shared" si="43"/>
        <v>41937.14566970522</v>
      </c>
      <c r="N56">
        <f t="shared" si="43"/>
        <v>38879.205194554401</v>
      </c>
      <c r="O56">
        <f t="shared" si="43"/>
        <v>35697.649047558712</v>
      </c>
    </row>
    <row r="57" spans="1:15" ht="15" thickBot="1" x14ac:dyDescent="0.4"/>
    <row r="58" spans="1:15" ht="26.5" thickBot="1" x14ac:dyDescent="0.65">
      <c r="A58" s="94" t="s">
        <v>37</v>
      </c>
      <c r="B58" s="95"/>
      <c r="C58" s="95"/>
      <c r="D58" s="67"/>
      <c r="E58" s="2">
        <f>E12</f>
        <v>1450</v>
      </c>
      <c r="F58" s="3" t="s">
        <v>38</v>
      </c>
      <c r="G58" s="11">
        <f>MIN(E56:O56)/1000</f>
        <v>35.345987432904685</v>
      </c>
      <c r="H58" s="4" t="s">
        <v>39</v>
      </c>
    </row>
    <row r="59" spans="1:15" ht="26.5" thickBot="1" x14ac:dyDescent="0.65">
      <c r="A59" s="94" t="s">
        <v>40</v>
      </c>
      <c r="B59" s="95"/>
      <c r="C59" s="96"/>
      <c r="D59" s="67"/>
      <c r="E59" s="2">
        <f>E11</f>
        <v>0.79999999999999982</v>
      </c>
      <c r="F59" s="14" t="s">
        <v>41</v>
      </c>
      <c r="G59" s="4">
        <f>O11</f>
        <v>3.6000000000000005</v>
      </c>
      <c r="H59" s="4"/>
    </row>
    <row r="60" spans="1:15" ht="26.5" thickBot="1" x14ac:dyDescent="0.65">
      <c r="A60" s="94" t="s">
        <v>42</v>
      </c>
      <c r="B60" s="95"/>
      <c r="C60" s="96"/>
      <c r="D60" s="67"/>
      <c r="E60" s="9">
        <f>O13</f>
        <v>402.77777777777771</v>
      </c>
      <c r="F60" s="14" t="s">
        <v>41</v>
      </c>
      <c r="G60" s="9">
        <f>E13</f>
        <v>1812.5000000000005</v>
      </c>
      <c r="H60" s="4"/>
    </row>
    <row r="61" spans="1:15" ht="29" thickBot="1" x14ac:dyDescent="0.7">
      <c r="A61" s="91" t="s">
        <v>43</v>
      </c>
      <c r="B61" s="92"/>
      <c r="C61" s="93"/>
      <c r="D61" s="66"/>
      <c r="E61" s="9">
        <f>MAX(E35:O35)*SIN(15*PI()/180)*E49</f>
        <v>6843.5270446289251</v>
      </c>
      <c r="F61" s="4" t="s">
        <v>44</v>
      </c>
    </row>
    <row r="67" spans="2:21" x14ac:dyDescent="0.35">
      <c r="B67" s="90" t="s">
        <v>196</v>
      </c>
      <c r="C67" s="90"/>
    </row>
    <row r="68" spans="2:21" x14ac:dyDescent="0.35">
      <c r="B68" s="90"/>
      <c r="C68" s="90"/>
    </row>
    <row r="69" spans="2:21" x14ac:dyDescent="0.35">
      <c r="Q69" s="13" t="s">
        <v>198</v>
      </c>
      <c r="R69" s="13" t="s">
        <v>45</v>
      </c>
      <c r="S69" s="13" t="s">
        <v>46</v>
      </c>
      <c r="T69" s="13" t="s">
        <v>47</v>
      </c>
      <c r="U69" s="13" t="s">
        <v>48</v>
      </c>
    </row>
    <row r="70" spans="2:21" x14ac:dyDescent="0.35">
      <c r="B70" s="12" t="s">
        <v>49</v>
      </c>
      <c r="C70" t="s">
        <v>172</v>
      </c>
      <c r="D70" t="s">
        <v>95</v>
      </c>
      <c r="E70">
        <f t="shared" ref="E70:O70" si="44">E35*SIN(15*PI()/180)*$E$49</f>
        <v>3682.8815512457018</v>
      </c>
      <c r="F70">
        <f t="shared" si="44"/>
        <v>3998.946100584024</v>
      </c>
      <c r="G70">
        <f t="shared" si="44"/>
        <v>4315.0106499223466</v>
      </c>
      <c r="H70">
        <f t="shared" si="44"/>
        <v>4631.0751992606693</v>
      </c>
      <c r="I70">
        <f t="shared" si="44"/>
        <v>4947.1397485989919</v>
      </c>
      <c r="J70">
        <f t="shared" si="44"/>
        <v>5263.2042979373136</v>
      </c>
      <c r="K70">
        <f t="shared" si="44"/>
        <v>5579.2688472756363</v>
      </c>
      <c r="L70">
        <f t="shared" si="44"/>
        <v>5895.3333966139589</v>
      </c>
      <c r="M70">
        <f t="shared" si="44"/>
        <v>6211.3979459522816</v>
      </c>
      <c r="N70">
        <f t="shared" si="44"/>
        <v>6527.4624952906042</v>
      </c>
      <c r="O70">
        <f t="shared" si="44"/>
        <v>6843.5270446289251</v>
      </c>
      <c r="Q70" s="13">
        <v>51310</v>
      </c>
      <c r="R70" s="13">
        <v>50</v>
      </c>
      <c r="S70" s="13">
        <v>95</v>
      </c>
      <c r="T70" s="13">
        <v>31</v>
      </c>
      <c r="U70" s="13">
        <v>81.900000000000006</v>
      </c>
    </row>
    <row r="71" spans="2:21" x14ac:dyDescent="0.35">
      <c r="B71" s="12">
        <v>51310</v>
      </c>
      <c r="C71" t="s">
        <v>173</v>
      </c>
      <c r="D71" t="s">
        <v>95</v>
      </c>
      <c r="E71">
        <f>MAX(E70:O70)</f>
        <v>6843.5270446289251</v>
      </c>
      <c r="Q71" s="13">
        <v>51309</v>
      </c>
      <c r="R71" s="13">
        <v>45</v>
      </c>
      <c r="S71" s="13">
        <v>85</v>
      </c>
      <c r="T71" s="13">
        <v>28</v>
      </c>
      <c r="U71" s="13">
        <v>76.099999999999994</v>
      </c>
    </row>
    <row r="72" spans="2:21" x14ac:dyDescent="0.35">
      <c r="B72">
        <v>51309</v>
      </c>
      <c r="C72" t="s">
        <v>50</v>
      </c>
      <c r="D72" t="s">
        <v>197</v>
      </c>
      <c r="E72">
        <v>20000</v>
      </c>
      <c r="Q72" s="13">
        <v>51406</v>
      </c>
      <c r="R72" s="13">
        <v>30</v>
      </c>
      <c r="S72" s="13">
        <v>70</v>
      </c>
      <c r="T72" s="13">
        <v>28</v>
      </c>
      <c r="U72" s="13">
        <v>70.2</v>
      </c>
    </row>
    <row r="73" spans="2:21" x14ac:dyDescent="0.35">
      <c r="B73">
        <v>51406</v>
      </c>
      <c r="C73" t="s">
        <v>51</v>
      </c>
      <c r="D73" t="s">
        <v>143</v>
      </c>
      <c r="E73">
        <f>E12</f>
        <v>1450</v>
      </c>
      <c r="Q73" s="13">
        <v>51407</v>
      </c>
      <c r="R73" s="13">
        <v>35</v>
      </c>
      <c r="S73" s="13">
        <v>80</v>
      </c>
      <c r="T73" s="13">
        <v>32</v>
      </c>
      <c r="U73" s="13">
        <v>76.099999999999994</v>
      </c>
    </row>
    <row r="74" spans="2:21" x14ac:dyDescent="0.35">
      <c r="B74">
        <v>51407</v>
      </c>
      <c r="C74" t="s">
        <v>52</v>
      </c>
      <c r="D74" t="s">
        <v>81</v>
      </c>
      <c r="E74">
        <f>E72*E73*60/10^6</f>
        <v>1740</v>
      </c>
    </row>
    <row r="75" spans="2:21" x14ac:dyDescent="0.35">
      <c r="C75" t="s">
        <v>53</v>
      </c>
      <c r="D75" t="s">
        <v>95</v>
      </c>
      <c r="E75">
        <f>E71*E74^(1/3)</f>
        <v>82311.984157275263</v>
      </c>
    </row>
    <row r="77" spans="2:21" x14ac:dyDescent="0.35">
      <c r="B77" s="12" t="s">
        <v>184</v>
      </c>
      <c r="C77" t="s">
        <v>185</v>
      </c>
      <c r="D77" t="s">
        <v>98</v>
      </c>
      <c r="E77">
        <v>94.34</v>
      </c>
    </row>
    <row r="78" spans="2:21" x14ac:dyDescent="0.35">
      <c r="C78" t="s">
        <v>186</v>
      </c>
      <c r="D78" t="s">
        <v>81</v>
      </c>
      <c r="E78">
        <f t="shared" ref="E78:O78" si="45">E11</f>
        <v>0.79999999999999982</v>
      </c>
      <c r="F78">
        <f t="shared" si="45"/>
        <v>0.94295227524972269</v>
      </c>
      <c r="G78">
        <f t="shared" si="45"/>
        <v>1.1023474178403756</v>
      </c>
      <c r="H78">
        <f t="shared" si="45"/>
        <v>1.2811955168119551</v>
      </c>
      <c r="I78">
        <f t="shared" si="45"/>
        <v>1.483289124668435</v>
      </c>
      <c r="J78">
        <f t="shared" si="45"/>
        <v>1.7134751773049643</v>
      </c>
      <c r="K78">
        <f t="shared" si="45"/>
        <v>1.9780487804878049</v>
      </c>
      <c r="L78">
        <f t="shared" si="45"/>
        <v>2.2853377265238879</v>
      </c>
      <c r="M78">
        <f t="shared" si="45"/>
        <v>2.6465949820788528</v>
      </c>
      <c r="N78">
        <f t="shared" si="45"/>
        <v>3.0774066797642443</v>
      </c>
      <c r="O78">
        <f t="shared" si="45"/>
        <v>3.6000000000000005</v>
      </c>
    </row>
    <row r="79" spans="2:21" x14ac:dyDescent="0.35">
      <c r="C79" t="s">
        <v>187</v>
      </c>
      <c r="D79" t="s">
        <v>98</v>
      </c>
      <c r="E79">
        <f t="shared" ref="E79:O79" si="46">(E7-E6)/2/TAN(15*3.14159/180)</f>
        <v>105.87675243109416</v>
      </c>
      <c r="F79">
        <f t="shared" si="46"/>
        <v>86.459822862444355</v>
      </c>
      <c r="G79">
        <f t="shared" si="46"/>
        <v>67.042893293794592</v>
      </c>
      <c r="H79">
        <f t="shared" si="46"/>
        <v>47.625963725144821</v>
      </c>
      <c r="I79">
        <f t="shared" si="46"/>
        <v>28.209034156495036</v>
      </c>
      <c r="J79">
        <f t="shared" si="46"/>
        <v>8.79210458784525</v>
      </c>
      <c r="K79">
        <f t="shared" si="46"/>
        <v>-10.624824980804535</v>
      </c>
      <c r="L79">
        <f t="shared" si="46"/>
        <v>-30.041754549454321</v>
      </c>
      <c r="M79">
        <f t="shared" si="46"/>
        <v>-49.458684118104102</v>
      </c>
      <c r="N79">
        <f t="shared" si="46"/>
        <v>-68.875613686753894</v>
      </c>
      <c r="O79">
        <f t="shared" si="46"/>
        <v>-88.292543255403672</v>
      </c>
    </row>
    <row r="80" spans="2:21" x14ac:dyDescent="0.35">
      <c r="C80" t="s">
        <v>188</v>
      </c>
      <c r="D80" t="s">
        <v>179</v>
      </c>
      <c r="E80">
        <f t="shared" ref="E80:O80" si="47">E79*E35*COS(15/180*3.14159)</f>
        <v>363811.09959758306</v>
      </c>
      <c r="F80">
        <f t="shared" si="47"/>
        <v>322587.45477296854</v>
      </c>
      <c r="G80">
        <f t="shared" si="47"/>
        <v>269912.00559395592</v>
      </c>
      <c r="H80">
        <f t="shared" si="47"/>
        <v>205784.752060545</v>
      </c>
      <c r="I80">
        <f t="shared" si="47"/>
        <v>130205.69417273575</v>
      </c>
      <c r="J80">
        <f t="shared" si="47"/>
        <v>43174.831930528264</v>
      </c>
      <c r="K80">
        <f t="shared" si="47"/>
        <v>-55307.834666077491</v>
      </c>
      <c r="L80">
        <f t="shared" si="47"/>
        <v>-165242.30561708153</v>
      </c>
      <c r="M80">
        <f t="shared" si="47"/>
        <v>-286628.58092248376</v>
      </c>
      <c r="N80">
        <f t="shared" si="47"/>
        <v>-419466.66058228438</v>
      </c>
      <c r="O80">
        <f t="shared" si="47"/>
        <v>-563756.544596483</v>
      </c>
    </row>
    <row r="81" spans="2:15" x14ac:dyDescent="0.35">
      <c r="C81" t="s">
        <v>189</v>
      </c>
      <c r="D81" t="s">
        <v>179</v>
      </c>
      <c r="E81">
        <f t="shared" ref="E81:O81" si="48">E35*SIN(15*3.14159/180)*(E7-E6)/2</f>
        <v>26120.415532384191</v>
      </c>
      <c r="F81">
        <f t="shared" si="48"/>
        <v>23160.696233634393</v>
      </c>
      <c r="G81">
        <f t="shared" si="48"/>
        <v>19378.775829246777</v>
      </c>
      <c r="H81">
        <f t="shared" si="48"/>
        <v>14774.654319221323</v>
      </c>
      <c r="I81">
        <f t="shared" si="48"/>
        <v>9348.3317035580276</v>
      </c>
      <c r="J81">
        <f t="shared" si="48"/>
        <v>3099.8079822568984</v>
      </c>
      <c r="K81">
        <f t="shared" si="48"/>
        <v>-3970.9168446820659</v>
      </c>
      <c r="L81">
        <f t="shared" si="48"/>
        <v>-11863.842777258866</v>
      </c>
      <c r="M81">
        <f t="shared" si="48"/>
        <v>-20578.969815473498</v>
      </c>
      <c r="N81">
        <f t="shared" si="48"/>
        <v>-30116.29795932597</v>
      </c>
      <c r="O81">
        <f t="shared" si="48"/>
        <v>-40475.827208816263</v>
      </c>
    </row>
    <row r="82" spans="2:15" x14ac:dyDescent="0.35">
      <c r="C82" t="s">
        <v>190</v>
      </c>
      <c r="D82" t="s">
        <v>179</v>
      </c>
      <c r="E82" s="71">
        <f t="shared" ref="E82:O82" si="49">$G$58*1000000*60/4/3.14159/TAN(15/180*3.14159)/$E$49/E12*(($E$77-E6)/E4+E11*($E$77-E7)/ABS(E5))</f>
        <v>29383.94911339588</v>
      </c>
      <c r="F82" s="71">
        <f t="shared" si="49"/>
        <v>27503.570562470246</v>
      </c>
      <c r="G82" s="71">
        <f t="shared" si="49"/>
        <v>26149.603376105697</v>
      </c>
      <c r="H82" s="71">
        <f t="shared" si="49"/>
        <v>25418.414267366381</v>
      </c>
      <c r="I82" s="71">
        <f t="shared" si="49"/>
        <v>25431.420182420592</v>
      </c>
      <c r="J82" s="71">
        <f t="shared" si="49"/>
        <v>26343.793700697614</v>
      </c>
      <c r="K82" s="71">
        <f t="shared" si="49"/>
        <v>28357.069940602578</v>
      </c>
      <c r="L82" s="71">
        <f t="shared" si="49"/>
        <v>31737.859610668096</v>
      </c>
      <c r="M82" s="71">
        <f t="shared" si="49"/>
        <v>36846.42162529131</v>
      </c>
      <c r="N82" s="71">
        <f t="shared" si="49"/>
        <v>44181.739353136254</v>
      </c>
      <c r="O82" s="71">
        <f t="shared" si="49"/>
        <v>54455.406467775916</v>
      </c>
    </row>
    <row r="83" spans="2:15" x14ac:dyDescent="0.35">
      <c r="C83" t="s">
        <v>191</v>
      </c>
      <c r="D83" t="s">
        <v>179</v>
      </c>
      <c r="E83" s="72">
        <f>((E80+E81)^2+E82^2)^0.5</f>
        <v>391037.08642154455</v>
      </c>
      <c r="F83" s="72">
        <f t="shared" ref="F83:O83" si="50">((F80+F81)^2+F82^2)^0.5</f>
        <v>346840.35278232762</v>
      </c>
      <c r="G83" s="72">
        <f t="shared" si="50"/>
        <v>290470.23595056153</v>
      </c>
      <c r="H83" s="72">
        <f t="shared" si="50"/>
        <v>222019.25035109537</v>
      </c>
      <c r="I83" s="72">
        <f t="shared" si="50"/>
        <v>141852.329098877</v>
      </c>
      <c r="J83" s="72">
        <f t="shared" si="50"/>
        <v>53247.889776054457</v>
      </c>
      <c r="K83" s="72">
        <f t="shared" si="50"/>
        <v>65712.20431769584</v>
      </c>
      <c r="L83" s="72">
        <f t="shared" si="50"/>
        <v>179927.42851423347</v>
      </c>
      <c r="M83" s="72">
        <f t="shared" si="50"/>
        <v>309409.33731386211</v>
      </c>
      <c r="N83" s="72">
        <f t="shared" si="50"/>
        <v>451748.67205482273</v>
      </c>
      <c r="O83" s="72">
        <f t="shared" si="50"/>
        <v>606681.25933724712</v>
      </c>
    </row>
    <row r="85" spans="2:15" x14ac:dyDescent="0.35">
      <c r="C85" t="s">
        <v>46</v>
      </c>
      <c r="D85" t="s">
        <v>98</v>
      </c>
      <c r="E85">
        <v>41</v>
      </c>
      <c r="F85">
        <v>41</v>
      </c>
      <c r="G85">
        <v>41</v>
      </c>
      <c r="H85">
        <v>41</v>
      </c>
      <c r="I85">
        <v>41</v>
      </c>
      <c r="J85">
        <v>41</v>
      </c>
      <c r="K85">
        <v>41</v>
      </c>
      <c r="L85">
        <v>41</v>
      </c>
      <c r="M85">
        <v>41</v>
      </c>
      <c r="N85">
        <v>41</v>
      </c>
      <c r="O85">
        <v>41</v>
      </c>
    </row>
    <row r="86" spans="2:15" x14ac:dyDescent="0.35">
      <c r="C86" t="s">
        <v>45</v>
      </c>
      <c r="D86" t="s">
        <v>98</v>
      </c>
      <c r="E86">
        <v>25.5</v>
      </c>
      <c r="F86">
        <v>25.5</v>
      </c>
      <c r="G86">
        <v>25.5</v>
      </c>
      <c r="H86">
        <v>25.5</v>
      </c>
      <c r="I86">
        <v>25.5</v>
      </c>
      <c r="J86">
        <v>25.5</v>
      </c>
      <c r="K86">
        <v>25.5</v>
      </c>
      <c r="L86">
        <v>25.5</v>
      </c>
      <c r="M86">
        <v>25.5</v>
      </c>
      <c r="N86">
        <v>25.5</v>
      </c>
      <c r="O86">
        <v>25.5</v>
      </c>
    </row>
    <row r="87" spans="2:15" x14ac:dyDescent="0.35">
      <c r="C87" t="s">
        <v>192</v>
      </c>
      <c r="D87" t="s">
        <v>178</v>
      </c>
      <c r="E87">
        <f>32*E83*E85/(E85^4-E86^4)/3.14159</f>
        <v>67.961050750491779</v>
      </c>
      <c r="F87">
        <f t="shared" ref="F87:O87" si="51">32*F83*F85/(F85^4-F86^4)/3.14159</f>
        <v>60.279793493417209</v>
      </c>
      <c r="G87">
        <f t="shared" si="51"/>
        <v>50.482839434985628</v>
      </c>
      <c r="H87">
        <f t="shared" si="51"/>
        <v>38.586267299544836</v>
      </c>
      <c r="I87">
        <f t="shared" si="51"/>
        <v>24.65350134736758</v>
      </c>
      <c r="J87">
        <f t="shared" si="51"/>
        <v>9.2543205365588275</v>
      </c>
      <c r="K87">
        <f t="shared" si="51"/>
        <v>11.420580317405824</v>
      </c>
      <c r="L87">
        <f t="shared" si="51"/>
        <v>31.270837281861425</v>
      </c>
      <c r="M87">
        <f t="shared" si="51"/>
        <v>53.774397380802675</v>
      </c>
      <c r="N87">
        <f t="shared" si="51"/>
        <v>78.512538820649212</v>
      </c>
      <c r="O87">
        <f t="shared" si="51"/>
        <v>105.43934907172344</v>
      </c>
    </row>
    <row r="88" spans="2:15" x14ac:dyDescent="0.35">
      <c r="C88" t="s">
        <v>193</v>
      </c>
      <c r="D88" t="s">
        <v>81</v>
      </c>
      <c r="E88">
        <f>20000*60*(0.25*E14+0.5*H14+0.25*O14)/10^6</f>
        <v>5065.2669777086576</v>
      </c>
    </row>
    <row r="90" spans="2:15" x14ac:dyDescent="0.35">
      <c r="B90" s="12" t="s">
        <v>195</v>
      </c>
      <c r="C90" t="s">
        <v>64</v>
      </c>
      <c r="D90" t="s">
        <v>95</v>
      </c>
      <c r="E90">
        <f t="shared" ref="E90:O90" si="52">E35*COS(15/180*3.14159)</f>
        <v>3436.1754704778618</v>
      </c>
      <c r="F90">
        <f t="shared" si="52"/>
        <v>3731.0677271013838</v>
      </c>
      <c r="G90">
        <f t="shared" si="52"/>
        <v>4025.9599837249061</v>
      </c>
      <c r="H90">
        <f t="shared" si="52"/>
        <v>4320.8522403484285</v>
      </c>
      <c r="I90">
        <f t="shared" si="52"/>
        <v>4615.7444969719509</v>
      </c>
      <c r="J90">
        <f t="shared" si="52"/>
        <v>4910.6367535954732</v>
      </c>
      <c r="K90">
        <f t="shared" si="52"/>
        <v>5205.5290102189956</v>
      </c>
      <c r="L90">
        <f t="shared" si="52"/>
        <v>5500.421266842518</v>
      </c>
      <c r="M90">
        <f t="shared" si="52"/>
        <v>5795.3135234660404</v>
      </c>
      <c r="N90">
        <f t="shared" si="52"/>
        <v>6090.2057800895627</v>
      </c>
      <c r="O90">
        <f t="shared" si="52"/>
        <v>6385.0980367130833</v>
      </c>
    </row>
    <row r="91" spans="2:15" x14ac:dyDescent="0.35">
      <c r="C91" t="s">
        <v>65</v>
      </c>
      <c r="D91" t="s">
        <v>179</v>
      </c>
      <c r="E91">
        <f>E90*194</f>
        <v>666618.04127270519</v>
      </c>
      <c r="F91">
        <f t="shared" ref="F91:O91" si="53">F90*194</f>
        <v>723827.13905766839</v>
      </c>
      <c r="G91">
        <f t="shared" si="53"/>
        <v>781036.23684263183</v>
      </c>
      <c r="H91">
        <f t="shared" si="53"/>
        <v>838245.33462759515</v>
      </c>
      <c r="I91">
        <f t="shared" si="53"/>
        <v>895454.43241255847</v>
      </c>
      <c r="J91">
        <f t="shared" si="53"/>
        <v>952663.53019752179</v>
      </c>
      <c r="K91">
        <f t="shared" si="53"/>
        <v>1009872.6279824851</v>
      </c>
      <c r="L91">
        <f t="shared" si="53"/>
        <v>1067081.7257674485</v>
      </c>
      <c r="M91">
        <f t="shared" si="53"/>
        <v>1124290.8235524117</v>
      </c>
      <c r="N91">
        <f t="shared" si="53"/>
        <v>1181499.9213373752</v>
      </c>
      <c r="O91">
        <f t="shared" si="53"/>
        <v>1238709.0191223382</v>
      </c>
    </row>
    <row r="92" spans="2:15" x14ac:dyDescent="0.35">
      <c r="C92" t="s">
        <v>170</v>
      </c>
      <c r="D92" t="s">
        <v>95</v>
      </c>
      <c r="E92">
        <f>E91/336</f>
        <v>1983.9822656925749</v>
      </c>
      <c r="F92">
        <f t="shared" ref="F92:O92" si="54">F91/336</f>
        <v>2154.2474376716323</v>
      </c>
      <c r="G92">
        <f t="shared" si="54"/>
        <v>2324.5126096506901</v>
      </c>
      <c r="H92">
        <f t="shared" si="54"/>
        <v>2494.7777816297476</v>
      </c>
      <c r="I92">
        <f t="shared" si="54"/>
        <v>2665.042953608805</v>
      </c>
      <c r="J92">
        <f t="shared" si="54"/>
        <v>2835.3081255878624</v>
      </c>
      <c r="K92">
        <f t="shared" si="54"/>
        <v>3005.5732975669198</v>
      </c>
      <c r="L92">
        <f t="shared" si="54"/>
        <v>3175.8384695459777</v>
      </c>
      <c r="M92">
        <f t="shared" si="54"/>
        <v>3346.1036415250351</v>
      </c>
      <c r="N92">
        <f t="shared" si="54"/>
        <v>3516.3688135040929</v>
      </c>
      <c r="O92">
        <f t="shared" si="54"/>
        <v>3686.6339854831494</v>
      </c>
    </row>
    <row r="93" spans="2:15" x14ac:dyDescent="0.35">
      <c r="C93" t="s">
        <v>66</v>
      </c>
      <c r="D93" t="s">
        <v>179</v>
      </c>
      <c r="E93">
        <f t="shared" ref="E93:N93" si="55">E92*36.25/2</f>
        <v>35959.678565677918</v>
      </c>
      <c r="F93">
        <f t="shared" si="55"/>
        <v>39045.734807798333</v>
      </c>
      <c r="G93">
        <f t="shared" si="55"/>
        <v>42131.791049918756</v>
      </c>
      <c r="H93">
        <f t="shared" si="55"/>
        <v>45217.847292039172</v>
      </c>
      <c r="I93">
        <f t="shared" si="55"/>
        <v>48303.903534159588</v>
      </c>
      <c r="J93">
        <f t="shared" si="55"/>
        <v>51389.959776280004</v>
      </c>
      <c r="K93">
        <f t="shared" si="55"/>
        <v>54476.01601840042</v>
      </c>
      <c r="L93">
        <f t="shared" si="55"/>
        <v>57562.072260520843</v>
      </c>
      <c r="M93">
        <f t="shared" si="55"/>
        <v>60648.128502641259</v>
      </c>
      <c r="N93">
        <f t="shared" si="55"/>
        <v>63734.184744761682</v>
      </c>
      <c r="O93">
        <f>O92*36.25/2</f>
        <v>66820.240986882083</v>
      </c>
    </row>
    <row r="94" spans="2:15" x14ac:dyDescent="0.35">
      <c r="C94" t="s">
        <v>171</v>
      </c>
      <c r="D94" t="s">
        <v>179</v>
      </c>
      <c r="E94">
        <v>9600</v>
      </c>
      <c r="F94">
        <v>9600</v>
      </c>
      <c r="G94">
        <v>9600</v>
      </c>
      <c r="H94">
        <v>9600</v>
      </c>
      <c r="I94">
        <v>9600</v>
      </c>
      <c r="J94">
        <v>9600</v>
      </c>
      <c r="K94">
        <v>9600</v>
      </c>
      <c r="L94">
        <v>9600</v>
      </c>
      <c r="M94">
        <v>9600</v>
      </c>
      <c r="N94">
        <v>9600</v>
      </c>
      <c r="O94">
        <v>9600</v>
      </c>
    </row>
    <row r="95" spans="2:15" x14ac:dyDescent="0.35">
      <c r="C95" t="s">
        <v>194</v>
      </c>
      <c r="D95" t="s">
        <v>81</v>
      </c>
      <c r="E95">
        <f t="shared" ref="E95:N95" si="56">E94/E93</f>
        <v>0.26696567886351513</v>
      </c>
      <c r="F95">
        <f t="shared" si="56"/>
        <v>0.24586552275826704</v>
      </c>
      <c r="G95">
        <f t="shared" si="56"/>
        <v>0.22785644191165977</v>
      </c>
      <c r="H95">
        <f t="shared" si="56"/>
        <v>0.21230555134565479</v>
      </c>
      <c r="I95">
        <f t="shared" si="56"/>
        <v>0.19874170196640661</v>
      </c>
      <c r="J95">
        <f t="shared" si="56"/>
        <v>0.18680691796203855</v>
      </c>
      <c r="K95">
        <f t="shared" si="56"/>
        <v>0.17622434057507799</v>
      </c>
      <c r="L95">
        <f t="shared" si="56"/>
        <v>0.16677648359411471</v>
      </c>
      <c r="M95">
        <f t="shared" si="56"/>
        <v>0.15829012761015229</v>
      </c>
      <c r="N95">
        <f t="shared" si="56"/>
        <v>0.15062560286046531</v>
      </c>
      <c r="O95">
        <f>O94/O93</f>
        <v>0.14366904186838594</v>
      </c>
    </row>
  </sheetData>
  <mergeCells count="8">
    <mergeCell ref="A1:C1"/>
    <mergeCell ref="A36:B37"/>
    <mergeCell ref="F33:O33"/>
    <mergeCell ref="B67:C68"/>
    <mergeCell ref="A61:C61"/>
    <mergeCell ref="A60:C60"/>
    <mergeCell ref="A58:C58"/>
    <mergeCell ref="A59:C59"/>
  </mergeCells>
  <pageMargins left="0.7" right="0.7" top="0.78740157499999996" bottom="0.78740157499999996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Tabulka výsledných hodnot</vt:lpstr>
      <vt:lpstr>Výpočet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Štětina</dc:creator>
  <cp:keywords/>
  <dc:description/>
  <cp:lastModifiedBy>Jakub Štětina</cp:lastModifiedBy>
  <cp:revision/>
  <dcterms:created xsi:type="dcterms:W3CDTF">2018-03-05T19:41:04Z</dcterms:created>
  <dcterms:modified xsi:type="dcterms:W3CDTF">2019-06-09T09:34:58Z</dcterms:modified>
  <cp:category/>
  <cp:contentStatus/>
</cp:coreProperties>
</file>