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už\Desktop\"/>
    </mc:Choice>
  </mc:AlternateContent>
  <bookViews>
    <workbookView xWindow="0" yWindow="0" windowWidth="24000" windowHeight="9510"/>
  </bookViews>
  <sheets>
    <sheet name="Rekonstrukce" sheetId="1" r:id="rId1"/>
    <sheet name="Data" sheetId="2" r:id="rId2"/>
  </sheets>
  <definedNames>
    <definedName name="DL">OFFSET(Data!$E$15,0,0,COUNT(Data!$F$15:$F$16),1)</definedName>
    <definedName name="MAL">OFFSET(Data!$E$23,0,0,COUNT(Data!$F$23:$F$24),1)</definedName>
    <definedName name="OBKL">OFFSET(Data!$E$27,0,0,COUNT(Data!$F$27:$F$28),1)</definedName>
    <definedName name="OM">OFFSET(Data!$E$19,0,0,COUNT(Data!$F$19:$F$20),1)</definedName>
    <definedName name="PODL">OFFSET(Data!$E$7,0,0,COUNT(Data!$F$7:$F$12),1)</definedName>
    <definedName name="ÚT">OFFSET(Data!$E$39,0,0,COUNT(Data!$F$39:$F$40),1)</definedName>
    <definedName name="VO">OFFSET(Data!$E$31,0,0,COUNT(Data!$F$31:$F$32),1)</definedName>
    <definedName name="ZTI">OFFSET(Data!$E$35,0,0,COUNT(Data!$F$35:$F$36),1)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2" l="1"/>
  <c r="P10" i="2"/>
  <c r="Q8" i="2"/>
  <c r="P8" i="2"/>
  <c r="P7" i="2"/>
  <c r="P6" i="2"/>
  <c r="M14" i="2"/>
  <c r="M12" i="2"/>
  <c r="M10" i="2"/>
  <c r="O8" i="2"/>
  <c r="N8" i="2"/>
  <c r="M7" i="2"/>
  <c r="M8" i="2" l="1"/>
  <c r="M15" i="2" l="1"/>
  <c r="P15" i="2" s="1"/>
  <c r="P13" i="2"/>
  <c r="M13" i="2"/>
  <c r="P12" i="2"/>
  <c r="P11" i="2"/>
  <c r="M11" i="2"/>
  <c r="P9" i="2"/>
  <c r="M9" i="2"/>
  <c r="R8" i="2"/>
  <c r="M6" i="2"/>
  <c r="R31" i="2"/>
  <c r="Q31" i="2"/>
  <c r="P31" i="2"/>
  <c r="O31" i="2"/>
  <c r="N31" i="2"/>
  <c r="M31" i="2"/>
  <c r="J16" i="1" l="1"/>
  <c r="J13" i="1"/>
  <c r="J10" i="1"/>
  <c r="J19" i="1"/>
  <c r="J25" i="1"/>
  <c r="L25" i="1" s="1"/>
  <c r="J22" i="1"/>
  <c r="J28" i="1"/>
  <c r="J31" i="1"/>
  <c r="J34" i="1"/>
  <c r="J37" i="1"/>
  <c r="D24" i="2"/>
  <c r="F24" i="2" s="1"/>
  <c r="D23" i="2"/>
  <c r="E23" i="2" s="1"/>
  <c r="R16" i="2"/>
  <c r="Q16" i="2"/>
  <c r="P16" i="2"/>
  <c r="O16" i="2"/>
  <c r="N16" i="2"/>
  <c r="M16" i="2"/>
  <c r="J42" i="1" l="1"/>
  <c r="E24" i="2"/>
  <c r="F23" i="2"/>
  <c r="D7" i="2" l="1"/>
  <c r="D8" i="2"/>
  <c r="E8" i="2" s="1"/>
  <c r="D9" i="2"/>
  <c r="E9" i="2" s="1"/>
  <c r="D10" i="2"/>
  <c r="F10" i="2" s="1"/>
  <c r="D11" i="2"/>
  <c r="F11" i="2" s="1"/>
  <c r="D12" i="2"/>
  <c r="E12" i="2" s="1"/>
  <c r="E11" i="2" l="1"/>
  <c r="E10" i="2"/>
  <c r="F12" i="2"/>
  <c r="F8" i="2"/>
  <c r="F9" i="2"/>
  <c r="D40" i="2"/>
  <c r="E40" i="2" l="1"/>
  <c r="F40" i="2" l="1"/>
  <c r="L13" i="1" l="1"/>
  <c r="L10" i="1" l="1"/>
  <c r="L16" i="1"/>
  <c r="L19" i="1"/>
  <c r="L22" i="1"/>
  <c r="L28" i="1"/>
  <c r="L31" i="1"/>
  <c r="L34" i="1"/>
  <c r="L37" i="1"/>
  <c r="J46" i="1" l="1"/>
  <c r="D39" i="2"/>
  <c r="F39" i="2" s="1"/>
  <c r="D36" i="2"/>
  <c r="E36" i="2" s="1"/>
  <c r="D35" i="2"/>
  <c r="E35" i="2" s="1"/>
  <c r="D32" i="2"/>
  <c r="F32" i="2" s="1"/>
  <c r="D31" i="2"/>
  <c r="E31" i="2" s="1"/>
  <c r="D28" i="2"/>
  <c r="E28" i="2" s="1"/>
  <c r="D27" i="2"/>
  <c r="F27" i="2" s="1"/>
  <c r="D20" i="2"/>
  <c r="F20" i="2" s="1"/>
  <c r="D19" i="2"/>
  <c r="E19" i="2" s="1"/>
  <c r="D16" i="2"/>
  <c r="E16" i="2" s="1"/>
  <c r="D15" i="2"/>
  <c r="F15" i="2" s="1"/>
  <c r="E7" i="2"/>
  <c r="D4" i="2"/>
  <c r="J50" i="1" l="1"/>
  <c r="J54" i="1" s="1"/>
  <c r="F7" i="2"/>
  <c r="F19" i="2"/>
  <c r="F31" i="2"/>
  <c r="F35" i="2"/>
  <c r="E20" i="2"/>
  <c r="E32" i="2"/>
  <c r="F36" i="2"/>
  <c r="E15" i="2"/>
  <c r="F16" i="2"/>
  <c r="E27" i="2"/>
  <c r="F28" i="2"/>
  <c r="E39" i="2"/>
</calcChain>
</file>

<file path=xl/sharedStrings.xml><?xml version="1.0" encoding="utf-8"?>
<sst xmlns="http://schemas.openxmlformats.org/spreadsheetml/2006/main" count="120" uniqueCount="64">
  <si>
    <t>Standard</t>
  </si>
  <si>
    <t>Nadstandard</t>
  </si>
  <si>
    <t>Podrobný výběr</t>
  </si>
  <si>
    <t>Bourací práce</t>
  </si>
  <si>
    <t>Nové konstrukce</t>
  </si>
  <si>
    <t>Dlažby</t>
  </si>
  <si>
    <t>Obklady</t>
  </si>
  <si>
    <t>Zdravotechnika</t>
  </si>
  <si>
    <t>Vytápění</t>
  </si>
  <si>
    <t>BP</t>
  </si>
  <si>
    <t>NK</t>
  </si>
  <si>
    <t>PODL</t>
  </si>
  <si>
    <t>DL</t>
  </si>
  <si>
    <t>OBKL</t>
  </si>
  <si>
    <t>ZTI</t>
  </si>
  <si>
    <t>ÚT</t>
  </si>
  <si>
    <t>Provedení rekonstrukce</t>
  </si>
  <si>
    <t>ORIENTAČNÍ NÁKLADY NA REKONSTRUKCI BYTU</t>
  </si>
  <si>
    <t>Podlahová plocha bytu</t>
  </si>
  <si>
    <r>
      <t>m</t>
    </r>
    <r>
      <rPr>
        <b/>
        <vertAlign val="superscript"/>
        <sz val="14"/>
        <color theme="1"/>
        <rFont val="Calibri"/>
        <family val="2"/>
        <charset val="238"/>
        <scheme val="minor"/>
      </rPr>
      <t>2</t>
    </r>
  </si>
  <si>
    <t>Celkem</t>
  </si>
  <si>
    <t>RU [Kč/m2]</t>
  </si>
  <si>
    <t>Orientační náklad [Kč]</t>
  </si>
  <si>
    <t>Druh prací</t>
  </si>
  <si>
    <r>
      <t>Rozpočtový ukazatel [Kč/m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charset val="238"/>
        <scheme val="minor"/>
      </rPr>
      <t>]</t>
    </r>
  </si>
  <si>
    <t>Vedlejší rozpočtové náklady (VRN)</t>
  </si>
  <si>
    <t>Základní rozpočtové náklady (ZRN)</t>
  </si>
  <si>
    <t>Orientační náklady</t>
  </si>
  <si>
    <t xml:space="preserve"> Kč/m2</t>
  </si>
  <si>
    <t>Kč bez DPH</t>
  </si>
  <si>
    <r>
      <t>Rozpočtový ukazatel vztažený na 1 m</t>
    </r>
    <r>
      <rPr>
        <b/>
        <vertAlign val="superscript"/>
        <sz val="14"/>
        <color theme="1"/>
        <rFont val="Calibri"/>
        <family val="2"/>
        <charset val="238"/>
        <scheme val="minor"/>
      </rPr>
      <t>2</t>
    </r>
    <r>
      <rPr>
        <b/>
        <sz val="14"/>
        <color theme="1"/>
        <rFont val="Calibri"/>
        <family val="2"/>
        <charset val="238"/>
        <scheme val="minor"/>
      </rPr>
      <t xml:space="preserve"> podlahové plochy</t>
    </r>
  </si>
  <si>
    <t>%</t>
  </si>
  <si>
    <t>laminátová plovoucí podlaha</t>
  </si>
  <si>
    <t>dřevěná plovoucí podlaha</t>
  </si>
  <si>
    <t>standardní zařizovací předměty včetně rozvodů</t>
  </si>
  <si>
    <t>nadstandardní zařizovací předměty včetně rozvodů</t>
  </si>
  <si>
    <t xml:space="preserve"> včetně odvozu suti a skládkovného</t>
  </si>
  <si>
    <t>včetně přesunu hmot HSV</t>
  </si>
  <si>
    <t>standardní keramické obklady</t>
  </si>
  <si>
    <t>nadstandardní keramické obklady</t>
  </si>
  <si>
    <t>standardní keramická dlažba běžného formátu</t>
  </si>
  <si>
    <t>nadstandardní velkoformátová keramická dlažba</t>
  </si>
  <si>
    <t>Výplně otvorů</t>
  </si>
  <si>
    <t xml:space="preserve">Výplně otvorů </t>
  </si>
  <si>
    <t>otopná tělesa včetně rozvodů</t>
  </si>
  <si>
    <t>úprava vytápění nebude realizována</t>
  </si>
  <si>
    <t>dveře se standardním povrchem, ocelové zárubně</t>
  </si>
  <si>
    <t>PVC podlaha</t>
  </si>
  <si>
    <t>koberec</t>
  </si>
  <si>
    <t>vlysová podlaha</t>
  </si>
  <si>
    <t>parketová podlaha</t>
  </si>
  <si>
    <t>Omítky</t>
  </si>
  <si>
    <t>Malby</t>
  </si>
  <si>
    <t>OM</t>
  </si>
  <si>
    <t>MAL</t>
  </si>
  <si>
    <t>oprava omítek stěn do 50 %, stropů do 30 %</t>
  </si>
  <si>
    <t>nové štukové omítky</t>
  </si>
  <si>
    <t>standardní dvojnásobná bílá malba</t>
  </si>
  <si>
    <t>otěruvzdorná dvojnásobná bílá malba</t>
  </si>
  <si>
    <t>VO</t>
  </si>
  <si>
    <t xml:space="preserve">dýhované profilované dveře, obložkové zárubně </t>
  </si>
  <si>
    <t>Průměrné rozpočové ukazatele</t>
  </si>
  <si>
    <t>Podlahové krytiny</t>
  </si>
  <si>
    <t xml:space="preserve"> Rozpočové ukazatele korelované s plochou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</si>
</sst>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2" fontId="3" fillId="2" borderId="3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1" fontId="0" fillId="0" borderId="0" xfId="0" applyNumberFormat="1"/>
    <xf numFmtId="0" fontId="6" fillId="0" borderId="0" xfId="0" applyFont="1"/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right" vertical="center" indent="2"/>
    </xf>
    <xf numFmtId="0" fontId="3" fillId="2" borderId="3" xfId="0" applyFont="1" applyFill="1" applyBorder="1" applyAlignment="1">
      <alignment horizontal="left" vertical="center"/>
    </xf>
    <xf numFmtId="1" fontId="3" fillId="2" borderId="3" xfId="0" applyNumberFormat="1" applyFont="1" applyFill="1" applyBorder="1" applyAlignment="1">
      <alignment horizontal="right" vertical="center" indent="2"/>
    </xf>
    <xf numFmtId="0" fontId="3" fillId="2" borderId="8" xfId="0" applyFont="1" applyFill="1" applyBorder="1" applyAlignment="1">
      <alignment horizontal="left" vertical="center"/>
    </xf>
    <xf numFmtId="1" fontId="3" fillId="2" borderId="8" xfId="0" applyNumberFormat="1" applyFont="1" applyFill="1" applyBorder="1" applyAlignment="1">
      <alignment horizontal="right" vertical="center" indent="2"/>
    </xf>
    <xf numFmtId="0" fontId="3" fillId="2" borderId="7" xfId="0" applyFont="1" applyFill="1" applyBorder="1" applyAlignment="1">
      <alignment horizontal="left" vertical="center" indent="2"/>
    </xf>
    <xf numFmtId="0" fontId="3" fillId="2" borderId="8" xfId="0" applyFont="1" applyFill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0" fontId="3" fillId="2" borderId="2" xfId="0" applyFont="1" applyFill="1" applyBorder="1" applyAlignment="1">
      <alignment horizontal="left" vertical="center" indent="2"/>
    </xf>
    <xf numFmtId="0" fontId="3" fillId="2" borderId="3" xfId="0" applyFont="1" applyFill="1" applyBorder="1" applyAlignment="1">
      <alignment horizontal="left" vertical="center" indent="2"/>
    </xf>
    <xf numFmtId="0" fontId="0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" fontId="0" fillId="2" borderId="4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left" vertical="center" indent="2"/>
    </xf>
    <xf numFmtId="0" fontId="0" fillId="0" borderId="0" xfId="0" applyFont="1" applyAlignment="1">
      <alignment horizontal="left" vertical="center" indent="2"/>
    </xf>
    <xf numFmtId="0" fontId="0" fillId="2" borderId="2" xfId="0" applyFont="1" applyFill="1" applyBorder="1" applyAlignment="1">
      <alignment horizontal="left" vertical="center" indent="2"/>
    </xf>
    <xf numFmtId="1" fontId="0" fillId="2" borderId="8" xfId="0" applyNumberFormat="1" applyFill="1" applyBorder="1" applyAlignment="1">
      <alignment horizontal="right" vertical="center" indent="2"/>
    </xf>
    <xf numFmtId="1" fontId="0" fillId="0" borderId="0" xfId="0" applyNumberFormat="1" applyAlignment="1">
      <alignment horizontal="right" vertical="center" indent="2"/>
    </xf>
    <xf numFmtId="1" fontId="0" fillId="2" borderId="3" xfId="0" applyNumberFormat="1" applyFill="1" applyBorder="1" applyAlignment="1">
      <alignment horizontal="right" vertical="center" indent="2"/>
    </xf>
    <xf numFmtId="0" fontId="0" fillId="4" borderId="2" xfId="0" applyFont="1" applyFill="1" applyBorder="1" applyAlignment="1">
      <alignment horizontal="left" vertical="center" indent="2"/>
    </xf>
    <xf numFmtId="0" fontId="3" fillId="4" borderId="3" xfId="0" applyFont="1" applyFill="1" applyBorder="1" applyAlignment="1">
      <alignment horizontal="left" vertical="center" indent="2"/>
    </xf>
    <xf numFmtId="0" fontId="0" fillId="4" borderId="3" xfId="0" applyFill="1" applyBorder="1" applyAlignment="1">
      <alignment vertical="center"/>
    </xf>
    <xf numFmtId="1" fontId="3" fillId="4" borderId="3" xfId="0" applyNumberFormat="1" applyFont="1" applyFill="1" applyBorder="1" applyAlignment="1">
      <alignment horizontal="right" vertical="center" indent="2"/>
    </xf>
    <xf numFmtId="1" fontId="0" fillId="4" borderId="3" xfId="0" applyNumberFormat="1" applyFill="1" applyBorder="1" applyAlignment="1">
      <alignment horizontal="right" vertical="center" indent="2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1" fontId="3" fillId="5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left" vertical="center" indent="2"/>
    </xf>
    <xf numFmtId="0" fontId="9" fillId="0" borderId="0" xfId="0" applyFont="1" applyBorder="1" applyAlignment="1">
      <alignment horizontal="left" vertical="center" indent="2"/>
    </xf>
    <xf numFmtId="0" fontId="9" fillId="2" borderId="3" xfId="0" applyFont="1" applyFill="1" applyBorder="1" applyAlignment="1">
      <alignment horizontal="left" vertical="center" indent="2"/>
    </xf>
    <xf numFmtId="0" fontId="9" fillId="4" borderId="3" xfId="0" applyFont="1" applyFill="1" applyBorder="1" applyAlignment="1">
      <alignment horizontal="left" vertical="center" indent="2"/>
    </xf>
    <xf numFmtId="0" fontId="6" fillId="4" borderId="8" xfId="0" applyFont="1" applyFill="1" applyBorder="1" applyAlignment="1">
      <alignment vertical="center"/>
    </xf>
    <xf numFmtId="0" fontId="11" fillId="0" borderId="1" xfId="0" applyFont="1" applyBorder="1"/>
    <xf numFmtId="9" fontId="11" fillId="0" borderId="1" xfId="0" applyNumberFormat="1" applyFont="1" applyBorder="1"/>
    <xf numFmtId="0" fontId="2" fillId="6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/>
    <xf numFmtId="0" fontId="0" fillId="0" borderId="28" xfId="0" applyBorder="1"/>
    <xf numFmtId="3" fontId="0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right"/>
    </xf>
    <xf numFmtId="3" fontId="8" fillId="0" borderId="17" xfId="0" applyNumberFormat="1" applyFont="1" applyFill="1" applyBorder="1" applyAlignment="1">
      <alignment horizontal="right" vertical="center" indent="2"/>
    </xf>
    <xf numFmtId="3" fontId="8" fillId="0" borderId="11" xfId="0" applyNumberFormat="1" applyFont="1" applyFill="1" applyBorder="1" applyAlignment="1">
      <alignment horizontal="right" vertical="center" indent="2"/>
    </xf>
    <xf numFmtId="3" fontId="8" fillId="0" borderId="32" xfId="0" applyNumberFormat="1" applyFont="1" applyFill="1" applyBorder="1" applyAlignment="1">
      <alignment horizontal="right" vertical="center" indent="2"/>
    </xf>
    <xf numFmtId="3" fontId="8" fillId="0" borderId="31" xfId="0" applyNumberFormat="1" applyFont="1" applyFill="1" applyBorder="1" applyAlignment="1">
      <alignment horizontal="right" vertical="center" indent="2"/>
    </xf>
    <xf numFmtId="3" fontId="8" fillId="0" borderId="18" xfId="0" applyNumberFormat="1" applyFont="1" applyFill="1" applyBorder="1" applyAlignment="1">
      <alignment horizontal="right" vertical="center" indent="2"/>
    </xf>
    <xf numFmtId="3" fontId="8" fillId="0" borderId="13" xfId="0" applyNumberFormat="1" applyFont="1" applyFill="1" applyBorder="1" applyAlignment="1">
      <alignment horizontal="right" vertical="center" indent="2"/>
    </xf>
    <xf numFmtId="3" fontId="8" fillId="0" borderId="19" xfId="0" applyNumberFormat="1" applyFont="1" applyFill="1" applyBorder="1" applyAlignment="1">
      <alignment horizontal="right" vertical="center" indent="2"/>
    </xf>
    <xf numFmtId="3" fontId="8" fillId="0" borderId="6" xfId="0" applyNumberFormat="1" applyFont="1" applyFill="1" applyBorder="1" applyAlignment="1">
      <alignment horizontal="right" vertical="center" indent="2"/>
    </xf>
    <xf numFmtId="3" fontId="8" fillId="0" borderId="20" xfId="0" applyNumberFormat="1" applyFont="1" applyFill="1" applyBorder="1" applyAlignment="1">
      <alignment horizontal="right" vertical="center" indent="2"/>
    </xf>
    <xf numFmtId="0" fontId="8" fillId="0" borderId="5" xfId="0" applyFont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wrapText="1" indent="2"/>
    </xf>
    <xf numFmtId="0" fontId="8" fillId="0" borderId="31" xfId="0" applyFont="1" applyBorder="1" applyAlignment="1">
      <alignment horizontal="left" vertical="center" wrapText="1" indent="2"/>
    </xf>
    <xf numFmtId="0" fontId="10" fillId="0" borderId="12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2"/>
    </xf>
    <xf numFmtId="0" fontId="8" fillId="0" borderId="15" xfId="0" applyFont="1" applyBorder="1" applyAlignment="1">
      <alignment horizontal="left" vertical="center" wrapText="1" indent="2"/>
    </xf>
    <xf numFmtId="0" fontId="8" fillId="0" borderId="11" xfId="0" applyFont="1" applyBorder="1" applyAlignment="1">
      <alignment horizontal="left" vertical="center" wrapText="1" indent="2"/>
    </xf>
    <xf numFmtId="3" fontId="8" fillId="0" borderId="1" xfId="0" applyNumberFormat="1" applyFont="1" applyFill="1" applyBorder="1" applyAlignment="1">
      <alignment horizontal="right" vertical="center" indent="2"/>
    </xf>
    <xf numFmtId="3" fontId="8" fillId="0" borderId="40" xfId="0" applyNumberFormat="1" applyFont="1" applyFill="1" applyBorder="1" applyAlignment="1">
      <alignment horizontal="right" vertical="center" indent="2"/>
    </xf>
    <xf numFmtId="0" fontId="8" fillId="0" borderId="33" xfId="0" applyFont="1" applyBorder="1" applyAlignment="1">
      <alignment horizontal="left" vertical="center" wrapText="1" indent="2"/>
    </xf>
    <xf numFmtId="0" fontId="8" fillId="0" borderId="1" xfId="0" applyFont="1" applyBorder="1" applyAlignment="1">
      <alignment horizontal="left" vertical="center" wrapText="1" indent="2"/>
    </xf>
    <xf numFmtId="0" fontId="2" fillId="3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indent="2"/>
    </xf>
    <xf numFmtId="0" fontId="5" fillId="0" borderId="3" xfId="0" applyFont="1" applyBorder="1" applyAlignment="1">
      <alignment horizontal="left" vertical="center" indent="2"/>
    </xf>
    <xf numFmtId="0" fontId="5" fillId="0" borderId="4" xfId="0" applyFont="1" applyBorder="1" applyAlignment="1">
      <alignment horizontal="left" vertical="center" indent="2"/>
    </xf>
    <xf numFmtId="0" fontId="0" fillId="0" borderId="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indent="2"/>
    </xf>
    <xf numFmtId="0" fontId="3" fillId="2" borderId="0" xfId="0" applyFont="1" applyFill="1" applyBorder="1" applyAlignment="1">
      <alignment horizontal="left" vertical="center" indent="2"/>
    </xf>
    <xf numFmtId="0" fontId="3" fillId="4" borderId="5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vertical="center" indent="2"/>
    </xf>
    <xf numFmtId="0" fontId="8" fillId="0" borderId="12" xfId="0" applyFont="1" applyBorder="1" applyAlignment="1">
      <alignment horizontal="left" vertical="center" wrapText="1" indent="2"/>
    </xf>
    <xf numFmtId="0" fontId="8" fillId="0" borderId="16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8" fillId="0" borderId="7" xfId="0" applyFont="1" applyBorder="1" applyAlignment="1">
      <alignment horizontal="left" vertical="center" wrapText="1" indent="2"/>
    </xf>
    <xf numFmtId="0" fontId="8" fillId="0" borderId="8" xfId="0" applyFont="1" applyBorder="1" applyAlignment="1">
      <alignment horizontal="left" vertical="center" wrapText="1" indent="2"/>
    </xf>
    <xf numFmtId="0" fontId="8" fillId="0" borderId="14" xfId="0" applyFont="1" applyBorder="1" applyAlignment="1">
      <alignment horizontal="left" vertical="center" wrapText="1" indent="2"/>
    </xf>
    <xf numFmtId="0" fontId="0" fillId="0" borderId="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 indent="2"/>
    </xf>
    <xf numFmtId="0" fontId="8" fillId="0" borderId="35" xfId="0" applyFont="1" applyBorder="1" applyAlignment="1">
      <alignment horizontal="left" vertical="center" wrapText="1" indent="2"/>
    </xf>
    <xf numFmtId="0" fontId="8" fillId="0" borderId="37" xfId="0" applyFont="1" applyBorder="1" applyAlignment="1">
      <alignment horizontal="left" vertical="center" wrapText="1" indent="2"/>
    </xf>
    <xf numFmtId="0" fontId="8" fillId="0" borderId="38" xfId="0" applyFont="1" applyBorder="1" applyAlignment="1">
      <alignment horizontal="left" vertical="center" wrapText="1" indent="2"/>
    </xf>
    <xf numFmtId="0" fontId="8" fillId="0" borderId="25" xfId="0" applyFont="1" applyBorder="1" applyAlignment="1">
      <alignment horizontal="left" vertical="center" wrapText="1" indent="2"/>
    </xf>
    <xf numFmtId="0" fontId="8" fillId="0" borderId="26" xfId="0" applyFont="1" applyBorder="1" applyAlignment="1">
      <alignment horizontal="left" vertical="center" wrapText="1" indent="2"/>
    </xf>
    <xf numFmtId="0" fontId="3" fillId="4" borderId="0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 vertical="center" indent="2"/>
    </xf>
    <xf numFmtId="3" fontId="3" fillId="4" borderId="0" xfId="0" applyNumberFormat="1" applyFont="1" applyFill="1" applyBorder="1" applyAlignment="1">
      <alignment horizontal="right" vertical="center" indent="2"/>
    </xf>
    <xf numFmtId="0" fontId="3" fillId="2" borderId="0" xfId="0" applyFont="1" applyFill="1" applyBorder="1" applyAlignment="1">
      <alignment horizontal="left" vertical="center"/>
    </xf>
    <xf numFmtId="3" fontId="8" fillId="0" borderId="21" xfId="0" applyNumberFormat="1" applyFont="1" applyFill="1" applyBorder="1" applyAlignment="1">
      <alignment horizontal="right" vertical="center" indent="2"/>
    </xf>
    <xf numFmtId="3" fontId="8" fillId="0" borderId="14" xfId="0" applyNumberFormat="1" applyFont="1" applyFill="1" applyBorder="1" applyAlignment="1">
      <alignment horizontal="right" vertical="center" indent="2"/>
    </xf>
    <xf numFmtId="3" fontId="8" fillId="0" borderId="9" xfId="0" applyNumberFormat="1" applyFont="1" applyFill="1" applyBorder="1" applyAlignment="1">
      <alignment horizontal="right" vertical="center" indent="2"/>
    </xf>
    <xf numFmtId="3" fontId="8" fillId="0" borderId="35" xfId="0" applyNumberFormat="1" applyFont="1" applyFill="1" applyBorder="1" applyAlignment="1">
      <alignment horizontal="right" vertical="center" indent="2"/>
    </xf>
    <xf numFmtId="3" fontId="8" fillId="0" borderId="38" xfId="0" applyNumberFormat="1" applyFont="1" applyFill="1" applyBorder="1" applyAlignment="1">
      <alignment horizontal="right" vertical="center" indent="2"/>
    </xf>
    <xf numFmtId="3" fontId="8" fillId="0" borderId="26" xfId="0" applyNumberFormat="1" applyFont="1" applyFill="1" applyBorder="1" applyAlignment="1">
      <alignment horizontal="right" vertical="center" indent="2"/>
    </xf>
    <xf numFmtId="3" fontId="8" fillId="0" borderId="36" xfId="0" applyNumberFormat="1" applyFont="1" applyFill="1" applyBorder="1" applyAlignment="1">
      <alignment horizontal="right" vertical="center" indent="2"/>
    </xf>
    <xf numFmtId="3" fontId="8" fillId="0" borderId="39" xfId="0" applyNumberFormat="1" applyFont="1" applyFill="1" applyBorder="1" applyAlignment="1">
      <alignment horizontal="right" vertical="center" indent="2"/>
    </xf>
    <xf numFmtId="3" fontId="8" fillId="0" borderId="27" xfId="0" applyNumberFormat="1" applyFont="1" applyFill="1" applyBorder="1" applyAlignment="1">
      <alignment horizontal="right" vertical="center" indent="2"/>
    </xf>
    <xf numFmtId="0" fontId="0" fillId="0" borderId="16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Data!$E$4" fmlaRange="Data!$I$2:$I$4" sel="1" val="0"/>
</file>

<file path=xl/ctrlProps/ctrlProp10.xml><?xml version="1.0" encoding="utf-8"?>
<formControlPr xmlns="http://schemas.microsoft.com/office/spreadsheetml/2009/9/main" objectType="Drop" dropStyle="combo" dx="22" fmlaLink="$F$9" fmlaRange="PODL" noThreeD="1" sel="1" val="0"/>
</file>

<file path=xl/ctrlProps/ctrlProp11.xml><?xml version="1.0" encoding="utf-8"?>
<formControlPr xmlns="http://schemas.microsoft.com/office/spreadsheetml/2009/9/main" objectType="Drop" dropStyle="combo" dx="22" fmlaLink="$F$17" fmlaRange="OM" noThreeD="1" sel="1" val="0"/>
</file>

<file path=xl/ctrlProps/ctrlProp2.xml><?xml version="1.0" encoding="utf-8"?>
<formControlPr xmlns="http://schemas.microsoft.com/office/spreadsheetml/2009/9/main" objectType="Spin" dx="22" fmlaLink="$L$4" max="90" min="30" page="10" val="62"/>
</file>

<file path=xl/ctrlProps/ctrlProp3.xml><?xml version="1.0" encoding="utf-8"?>
<formControlPr xmlns="http://schemas.microsoft.com/office/spreadsheetml/2009/9/main" objectType="Spin" dx="22" fmlaLink="$H$50" max="100" page="10" val="5"/>
</file>

<file path=xl/ctrlProps/ctrlProp4.xml><?xml version="1.0" encoding="utf-8"?>
<formControlPr xmlns="http://schemas.microsoft.com/office/spreadsheetml/2009/9/main" objectType="Drop" dropStyle="combo" dx="22" fmlaLink="$F$37" fmlaRange="ÚT" noThreeD="1" sel="1" val="0"/>
</file>

<file path=xl/ctrlProps/ctrlProp5.xml><?xml version="1.0" encoding="utf-8"?>
<formControlPr xmlns="http://schemas.microsoft.com/office/spreadsheetml/2009/9/main" objectType="Drop" dropStyle="combo" dx="22" fmlaLink="$F$33" fmlaRange="ZTI" noThreeD="1" sel="1" val="0"/>
</file>

<file path=xl/ctrlProps/ctrlProp6.xml><?xml version="1.0" encoding="utf-8"?>
<formControlPr xmlns="http://schemas.microsoft.com/office/spreadsheetml/2009/9/main" objectType="Drop" dropStyle="combo" dx="22" fmlaLink="$F$29" fmlaRange="VO" noThreeD="1" sel="1" val="0"/>
</file>

<file path=xl/ctrlProps/ctrlProp7.xml><?xml version="1.0" encoding="utf-8"?>
<formControlPr xmlns="http://schemas.microsoft.com/office/spreadsheetml/2009/9/main" objectType="Drop" dropStyle="combo" dx="22" fmlaLink="$F$25" fmlaRange="OBKL" noThreeD="1" sel="1" val="0"/>
</file>

<file path=xl/ctrlProps/ctrlProp8.xml><?xml version="1.0" encoding="utf-8"?>
<formControlPr xmlns="http://schemas.microsoft.com/office/spreadsheetml/2009/9/main" objectType="Drop" dropStyle="combo" dx="22" fmlaLink="$F$21" fmlaRange="MAL" noThreeD="1" sel="1" val="0"/>
</file>

<file path=xl/ctrlProps/ctrlProp9.xml><?xml version="1.0" encoding="utf-8"?>
<formControlPr xmlns="http://schemas.microsoft.com/office/spreadsheetml/2009/9/main" objectType="Drop" dropStyle="combo" dx="22" fmlaLink="$F$13" fmlaRange="DL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</xdr:row>
          <xdr:rowOff>95250</xdr:rowOff>
        </xdr:from>
        <xdr:to>
          <xdr:col>4</xdr:col>
          <xdr:colOff>409575</xdr:colOff>
          <xdr:row>4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</xdr:row>
          <xdr:rowOff>38100</xdr:rowOff>
        </xdr:from>
        <xdr:to>
          <xdr:col>10</xdr:col>
          <xdr:colOff>504825</xdr:colOff>
          <xdr:row>4</xdr:row>
          <xdr:rowOff>76200</xdr:rowOff>
        </xdr:to>
        <xdr:sp macro="" textlink="">
          <xdr:nvSpPr>
            <xdr:cNvPr id="1057" name="Spinner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628650</xdr:colOff>
          <xdr:row>48</xdr:row>
          <xdr:rowOff>66675</xdr:rowOff>
        </xdr:from>
        <xdr:to>
          <xdr:col>6</xdr:col>
          <xdr:colOff>342900</xdr:colOff>
          <xdr:row>50</xdr:row>
          <xdr:rowOff>47625</xdr:rowOff>
        </xdr:to>
        <xdr:sp macro="" textlink="">
          <xdr:nvSpPr>
            <xdr:cNvPr id="1058" name="Spinner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35</xdr:row>
          <xdr:rowOff>123825</xdr:rowOff>
        </xdr:from>
        <xdr:to>
          <xdr:col>4</xdr:col>
          <xdr:colOff>628650</xdr:colOff>
          <xdr:row>37</xdr:row>
          <xdr:rowOff>114300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31</xdr:row>
          <xdr:rowOff>123825</xdr:rowOff>
        </xdr:from>
        <xdr:to>
          <xdr:col>4</xdr:col>
          <xdr:colOff>628650</xdr:colOff>
          <xdr:row>33</xdr:row>
          <xdr:rowOff>114300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27</xdr:row>
          <xdr:rowOff>123825</xdr:rowOff>
        </xdr:from>
        <xdr:to>
          <xdr:col>4</xdr:col>
          <xdr:colOff>628650</xdr:colOff>
          <xdr:row>29</xdr:row>
          <xdr:rowOff>114300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23</xdr:row>
          <xdr:rowOff>123825</xdr:rowOff>
        </xdr:from>
        <xdr:to>
          <xdr:col>4</xdr:col>
          <xdr:colOff>628650</xdr:colOff>
          <xdr:row>25</xdr:row>
          <xdr:rowOff>114300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123825</xdr:rowOff>
        </xdr:from>
        <xdr:to>
          <xdr:col>4</xdr:col>
          <xdr:colOff>628650</xdr:colOff>
          <xdr:row>21</xdr:row>
          <xdr:rowOff>114300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11</xdr:row>
          <xdr:rowOff>123825</xdr:rowOff>
        </xdr:from>
        <xdr:to>
          <xdr:col>4</xdr:col>
          <xdr:colOff>628650</xdr:colOff>
          <xdr:row>13</xdr:row>
          <xdr:rowOff>114300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</xdr:row>
          <xdr:rowOff>123825</xdr:rowOff>
        </xdr:from>
        <xdr:to>
          <xdr:col>4</xdr:col>
          <xdr:colOff>628650</xdr:colOff>
          <xdr:row>9</xdr:row>
          <xdr:rowOff>114300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</xdr:row>
          <xdr:rowOff>123825</xdr:rowOff>
        </xdr:from>
        <xdr:to>
          <xdr:col>4</xdr:col>
          <xdr:colOff>628650</xdr:colOff>
          <xdr:row>17</xdr:row>
          <xdr:rowOff>114300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X59"/>
  <sheetViews>
    <sheetView showGridLines="0" tabSelected="1" zoomScaleNormal="100" workbookViewId="0">
      <selection activeCell="O1" sqref="O1"/>
    </sheetView>
  </sheetViews>
  <sheetFormatPr defaultRowHeight="15" x14ac:dyDescent="0.25"/>
  <cols>
    <col min="2" max="2" width="25.7109375" style="6" customWidth="1"/>
    <col min="3" max="3" width="12.7109375" customWidth="1"/>
    <col min="4" max="4" width="20.7109375" customWidth="1"/>
    <col min="5" max="5" width="12.7109375" customWidth="1"/>
    <col min="6" max="6" width="9.7109375" style="23" customWidth="1"/>
    <col min="7" max="7" width="8.7109375" customWidth="1"/>
    <col min="8" max="8" width="7.7109375" customWidth="1"/>
    <col min="9" max="9" width="13.7109375" customWidth="1"/>
    <col min="10" max="13" width="10.7109375" customWidth="1"/>
    <col min="14" max="21" width="9.7109375" customWidth="1"/>
    <col min="22" max="23" width="10.7109375" customWidth="1"/>
  </cols>
  <sheetData>
    <row r="1" spans="1:24" ht="39.950000000000003" customHeight="1" x14ac:dyDescent="0.25">
      <c r="A1" s="97" t="s">
        <v>17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68"/>
      <c r="P1" s="68"/>
      <c r="Q1" s="68"/>
      <c r="R1" s="68"/>
      <c r="S1" s="68"/>
      <c r="T1" s="68"/>
      <c r="U1" s="68"/>
      <c r="V1" s="68"/>
      <c r="W1" s="15"/>
      <c r="X1" s="15"/>
    </row>
    <row r="2" spans="1:24" ht="15" customHeight="1" thickBot="1" x14ac:dyDescent="0.3"/>
    <row r="3" spans="1:24" ht="9.9499999999999993" customHeight="1" x14ac:dyDescent="0.25">
      <c r="B3" s="104" t="s">
        <v>16</v>
      </c>
      <c r="C3" s="105"/>
      <c r="D3" s="7"/>
      <c r="E3" s="8"/>
      <c r="F3" s="73"/>
      <c r="G3" s="98" t="s">
        <v>18</v>
      </c>
      <c r="H3" s="99"/>
      <c r="I3" s="99"/>
      <c r="J3" s="99"/>
      <c r="K3" s="7"/>
      <c r="L3" s="13"/>
      <c r="M3" s="110" t="s">
        <v>19</v>
      </c>
    </row>
    <row r="4" spans="1:24" ht="24.95" customHeight="1" x14ac:dyDescent="0.25">
      <c r="B4" s="106"/>
      <c r="C4" s="107"/>
      <c r="D4" s="9"/>
      <c r="E4" s="10"/>
      <c r="F4" s="73"/>
      <c r="G4" s="100"/>
      <c r="H4" s="101"/>
      <c r="I4" s="101"/>
      <c r="J4" s="101"/>
      <c r="K4" s="9"/>
      <c r="L4" s="18">
        <v>62.39</v>
      </c>
      <c r="M4" s="111"/>
    </row>
    <row r="5" spans="1:24" ht="9.9499999999999993" customHeight="1" thickBot="1" x14ac:dyDescent="0.3">
      <c r="B5" s="108"/>
      <c r="C5" s="109"/>
      <c r="D5" s="11"/>
      <c r="E5" s="12"/>
      <c r="F5" s="73"/>
      <c r="G5" s="102"/>
      <c r="H5" s="103"/>
      <c r="I5" s="103"/>
      <c r="J5" s="103"/>
      <c r="K5" s="11"/>
      <c r="L5" s="14"/>
      <c r="M5" s="112"/>
    </row>
    <row r="6" spans="1:24" ht="20.100000000000001" customHeight="1" thickBot="1" x14ac:dyDescent="0.3">
      <c r="F6" s="70"/>
    </row>
    <row r="7" spans="1:24" ht="30" customHeight="1" x14ac:dyDescent="0.25">
      <c r="B7" s="113" t="s">
        <v>2</v>
      </c>
      <c r="C7" s="114"/>
      <c r="D7" s="114"/>
      <c r="E7" s="115"/>
      <c r="G7" s="117" t="s">
        <v>23</v>
      </c>
      <c r="H7" s="118"/>
      <c r="I7" s="118"/>
      <c r="J7" s="123" t="s">
        <v>24</v>
      </c>
      <c r="K7" s="123"/>
      <c r="L7" s="123" t="s">
        <v>22</v>
      </c>
      <c r="M7" s="126"/>
    </row>
    <row r="8" spans="1:24" ht="9.9499999999999993" customHeight="1" x14ac:dyDescent="0.25">
      <c r="B8" s="116" t="s">
        <v>62</v>
      </c>
      <c r="C8" s="1"/>
      <c r="D8" s="1"/>
      <c r="E8" s="19"/>
      <c r="F8" s="74"/>
      <c r="G8" s="119"/>
      <c r="H8" s="120"/>
      <c r="I8" s="120"/>
      <c r="J8" s="124"/>
      <c r="K8" s="124"/>
      <c r="L8" s="124"/>
      <c r="M8" s="127"/>
    </row>
    <row r="9" spans="1:24" ht="9.9499999999999993" customHeight="1" thickBot="1" x14ac:dyDescent="0.3">
      <c r="B9" s="116"/>
      <c r="C9" s="1"/>
      <c r="D9" s="1"/>
      <c r="E9" s="19"/>
      <c r="F9" s="74">
        <v>1</v>
      </c>
      <c r="G9" s="121"/>
      <c r="H9" s="122"/>
      <c r="I9" s="122"/>
      <c r="J9" s="125"/>
      <c r="K9" s="125"/>
      <c r="L9" s="125"/>
      <c r="M9" s="128"/>
    </row>
    <row r="10" spans="1:24" ht="9.9499999999999993" customHeight="1" x14ac:dyDescent="0.25">
      <c r="B10" s="116"/>
      <c r="C10" s="1"/>
      <c r="D10" s="1"/>
      <c r="E10" s="19"/>
      <c r="F10" s="74"/>
      <c r="G10" s="84" t="s">
        <v>3</v>
      </c>
      <c r="H10" s="85"/>
      <c r="I10" s="86"/>
      <c r="J10" s="77">
        <f>IF(Data!$E$4=1,Data!$M$6,IF(Data!$E$4=2,Data!$P$6,IF(AND(Data!$E$4=3,Rekonstrukce!F17=1),Data!$M$6,Data!$P$6)))</f>
        <v>671</v>
      </c>
      <c r="K10" s="78"/>
      <c r="L10" s="77">
        <f>J10*$L$4</f>
        <v>41863.69</v>
      </c>
      <c r="M10" s="82"/>
    </row>
    <row r="11" spans="1:24" ht="9.9499999999999993" customHeight="1" x14ac:dyDescent="0.25">
      <c r="B11" s="116"/>
      <c r="C11" s="1"/>
      <c r="D11" s="1"/>
      <c r="E11" s="19"/>
      <c r="F11" s="74"/>
      <c r="G11" s="84"/>
      <c r="H11" s="85"/>
      <c r="I11" s="86"/>
      <c r="J11" s="77"/>
      <c r="K11" s="78"/>
      <c r="L11" s="77"/>
      <c r="M11" s="82"/>
    </row>
    <row r="12" spans="1:24" ht="9.9499999999999993" customHeight="1" x14ac:dyDescent="0.25">
      <c r="B12" s="116" t="s">
        <v>5</v>
      </c>
      <c r="C12" s="1"/>
      <c r="D12" s="1"/>
      <c r="E12" s="19"/>
      <c r="F12" s="74"/>
      <c r="G12" s="87" t="s">
        <v>36</v>
      </c>
      <c r="H12" s="88"/>
      <c r="I12" s="89"/>
      <c r="J12" s="79"/>
      <c r="K12" s="80"/>
      <c r="L12" s="79"/>
      <c r="M12" s="83"/>
    </row>
    <row r="13" spans="1:24" ht="9.9499999999999993" customHeight="1" x14ac:dyDescent="0.25">
      <c r="B13" s="116"/>
      <c r="C13" s="1"/>
      <c r="D13" s="1"/>
      <c r="E13" s="19"/>
      <c r="F13" s="74">
        <v>1</v>
      </c>
      <c r="G13" s="90" t="s">
        <v>4</v>
      </c>
      <c r="H13" s="91"/>
      <c r="I13" s="92"/>
      <c r="J13" s="75">
        <f>IF(Data!$E$4=1,Data!$M$7,IF(Data!$E$4=2,Data!$P$7,IF(AND(Data!$E$4=3,Rekonstrukce!F17=1),Data!$M$7,Data!$P$7)))</f>
        <v>1550</v>
      </c>
      <c r="K13" s="76"/>
      <c r="L13" s="75">
        <f>J13*$L$4</f>
        <v>96704.5</v>
      </c>
      <c r="M13" s="81"/>
    </row>
    <row r="14" spans="1:24" ht="9.9499999999999993" customHeight="1" x14ac:dyDescent="0.25">
      <c r="B14" s="116"/>
      <c r="C14" s="1"/>
      <c r="D14" s="1"/>
      <c r="E14" s="19"/>
      <c r="F14" s="74"/>
      <c r="G14" s="84"/>
      <c r="H14" s="85"/>
      <c r="I14" s="86"/>
      <c r="J14" s="77"/>
      <c r="K14" s="78"/>
      <c r="L14" s="77"/>
      <c r="M14" s="82"/>
    </row>
    <row r="15" spans="1:24" ht="9.9499999999999993" customHeight="1" x14ac:dyDescent="0.25">
      <c r="B15" s="116"/>
      <c r="C15" s="1"/>
      <c r="D15" s="1"/>
      <c r="E15" s="19"/>
      <c r="F15" s="74"/>
      <c r="G15" s="87" t="s">
        <v>37</v>
      </c>
      <c r="H15" s="88"/>
      <c r="I15" s="89"/>
      <c r="J15" s="79"/>
      <c r="K15" s="80"/>
      <c r="L15" s="79"/>
      <c r="M15" s="83"/>
    </row>
    <row r="16" spans="1:24" ht="9.9499999999999993" customHeight="1" x14ac:dyDescent="0.25">
      <c r="B16" s="116" t="s">
        <v>51</v>
      </c>
      <c r="C16" s="1"/>
      <c r="D16" s="1"/>
      <c r="E16" s="19"/>
      <c r="F16" s="74"/>
      <c r="G16" s="95" t="s">
        <v>62</v>
      </c>
      <c r="H16" s="96"/>
      <c r="I16" s="96"/>
      <c r="J16" s="93">
        <f>IF(AND(Data!$E$4=3,Rekonstrukce!F9=1),Data!$M$8,IF(AND(Data!$E$4=3,Rekonstrukce!F9=2),Data!$N$8,IF(AND(Data!E4=3,Rekonstrukce!F9=3),Data!$O$8,IF(AND(Data!$E$4=3,Rekonstrukce!F9=4),Data!$P$8,IF(AND(Data!$E$4=3,Rekonstrukce!F9=5),Data!$Q$8,IF(AND(Data!$E$4=3,Rekonstrukce!F9=6),Data!$R$8,IF(AND(Data!$E$4=1,Rekonstrukce!F9=1),Data!$M$8,IF(AND(Data!$E$4=1,Rekonstrukce!F9=2),Data!$N$8,IF(AND(Data!$E$4=1,OR(Rekonstrukce!F9=3,Rekonstrukce!F9=4,Rekonstrukce!F9=5,Rekonstrukce!F9=6)),Data!$O$8,IF(AND(Data!$E$4=2,Rekonstrukce!F9=1),Data!$P$8,IF(AND(Data!$E$4=2,Rekonstrukce!F9=2),Data!$Q$8,Data!$R$8)))))))))))</f>
        <v>672</v>
      </c>
      <c r="K16" s="93"/>
      <c r="L16" s="93">
        <f t="shared" ref="L16" si="0">J16*$L$4</f>
        <v>41926.080000000002</v>
      </c>
      <c r="M16" s="94"/>
    </row>
    <row r="17" spans="2:13" ht="9.9499999999999993" customHeight="1" x14ac:dyDescent="0.25">
      <c r="B17" s="116"/>
      <c r="C17" s="1"/>
      <c r="D17" s="1"/>
      <c r="E17" s="19"/>
      <c r="F17" s="74">
        <v>1</v>
      </c>
      <c r="G17" s="95"/>
      <c r="H17" s="96"/>
      <c r="I17" s="96"/>
      <c r="J17" s="93"/>
      <c r="K17" s="93"/>
      <c r="L17" s="93"/>
      <c r="M17" s="94"/>
    </row>
    <row r="18" spans="2:13" ht="9.9499999999999993" customHeight="1" x14ac:dyDescent="0.25">
      <c r="B18" s="116"/>
      <c r="C18" s="1"/>
      <c r="D18" s="1"/>
      <c r="E18" s="19"/>
      <c r="F18" s="74"/>
      <c r="G18" s="95"/>
      <c r="H18" s="96"/>
      <c r="I18" s="96"/>
      <c r="J18" s="93"/>
      <c r="K18" s="93"/>
      <c r="L18" s="93"/>
      <c r="M18" s="94"/>
    </row>
    <row r="19" spans="2:13" ht="9.9499999999999993" customHeight="1" x14ac:dyDescent="0.25">
      <c r="B19" s="116"/>
      <c r="C19" s="1"/>
      <c r="D19" s="1"/>
      <c r="E19" s="19"/>
      <c r="F19" s="74"/>
      <c r="G19" s="95" t="s">
        <v>5</v>
      </c>
      <c r="H19" s="96"/>
      <c r="I19" s="96"/>
      <c r="J19" s="93">
        <f>IF(Data!$E$4=1,Data!$M$9,IF(Data!$E$4=2,Data!$P$9,IF(AND(Data!$E$4=3,Rekonstrukce!F13=1),Data!$M$9,Data!$P$9)))</f>
        <v>265</v>
      </c>
      <c r="K19" s="93"/>
      <c r="L19" s="93">
        <f t="shared" ref="L19" si="1">J19*$L$4</f>
        <v>16533.349999999999</v>
      </c>
      <c r="M19" s="94"/>
    </row>
    <row r="20" spans="2:13" ht="9.9499999999999993" customHeight="1" x14ac:dyDescent="0.25">
      <c r="B20" s="116" t="s">
        <v>52</v>
      </c>
      <c r="C20" s="1"/>
      <c r="D20" s="1"/>
      <c r="E20" s="19"/>
      <c r="F20" s="74"/>
      <c r="G20" s="95"/>
      <c r="H20" s="96"/>
      <c r="I20" s="96"/>
      <c r="J20" s="93"/>
      <c r="K20" s="93"/>
      <c r="L20" s="93"/>
      <c r="M20" s="94"/>
    </row>
    <row r="21" spans="2:13" ht="9.9499999999999993" customHeight="1" x14ac:dyDescent="0.25">
      <c r="B21" s="116"/>
      <c r="C21" s="1"/>
      <c r="D21" s="1"/>
      <c r="E21" s="19"/>
      <c r="F21" s="74">
        <v>1</v>
      </c>
      <c r="G21" s="95"/>
      <c r="H21" s="96"/>
      <c r="I21" s="96"/>
      <c r="J21" s="93"/>
      <c r="K21" s="93"/>
      <c r="L21" s="93"/>
      <c r="M21" s="94"/>
    </row>
    <row r="22" spans="2:13" ht="9.9499999999999993" customHeight="1" x14ac:dyDescent="0.25">
      <c r="B22" s="116"/>
      <c r="C22" s="1"/>
      <c r="D22" s="1"/>
      <c r="E22" s="19"/>
      <c r="F22" s="74"/>
      <c r="G22" s="95" t="s">
        <v>51</v>
      </c>
      <c r="H22" s="96"/>
      <c r="I22" s="96"/>
      <c r="J22" s="93">
        <f>IF(Data!$E$4=1,Data!$M$10,IF(Data!$E$4=2,Data!$P$10,IF(AND(Data!$E$4=3,Rekonstrukce!F17=1),Data!$M$10,Data!$P$10)))</f>
        <v>1122</v>
      </c>
      <c r="K22" s="93"/>
      <c r="L22" s="93">
        <f t="shared" ref="L22" si="2">J22*$L$4</f>
        <v>70001.58</v>
      </c>
      <c r="M22" s="94"/>
    </row>
    <row r="23" spans="2:13" ht="9.9499999999999993" customHeight="1" x14ac:dyDescent="0.25">
      <c r="B23" s="116"/>
      <c r="C23" s="1"/>
      <c r="D23" s="1"/>
      <c r="E23" s="19"/>
      <c r="F23" s="74"/>
      <c r="G23" s="95"/>
      <c r="H23" s="96"/>
      <c r="I23" s="96"/>
      <c r="J23" s="93"/>
      <c r="K23" s="93"/>
      <c r="L23" s="93"/>
      <c r="M23" s="94"/>
    </row>
    <row r="24" spans="2:13" ht="9.9499999999999993" customHeight="1" x14ac:dyDescent="0.25">
      <c r="B24" s="116" t="s">
        <v>6</v>
      </c>
      <c r="C24" s="1"/>
      <c r="D24" s="1"/>
      <c r="E24" s="19"/>
      <c r="F24" s="74"/>
      <c r="G24" s="95"/>
      <c r="H24" s="96"/>
      <c r="I24" s="96"/>
      <c r="J24" s="93"/>
      <c r="K24" s="93"/>
      <c r="L24" s="93"/>
      <c r="M24" s="94"/>
    </row>
    <row r="25" spans="2:13" ht="9.9499999999999993" customHeight="1" x14ac:dyDescent="0.25">
      <c r="B25" s="116"/>
      <c r="C25" s="1"/>
      <c r="D25" s="1"/>
      <c r="E25" s="19"/>
      <c r="F25" s="74">
        <v>1</v>
      </c>
      <c r="G25" s="90" t="s">
        <v>52</v>
      </c>
      <c r="H25" s="91"/>
      <c r="I25" s="92"/>
      <c r="J25" s="75">
        <f>IF(Data!$E$4=1,Data!$M$11,IF(Data!$E$4=2,Data!$P$11,IF(AND(Data!$E$4=3,Rekonstrukce!F21=1),Data!$M$11,Data!$P$11)))</f>
        <v>316</v>
      </c>
      <c r="K25" s="76"/>
      <c r="L25" s="75">
        <f>J25*$L$4</f>
        <v>19715.240000000002</v>
      </c>
      <c r="M25" s="81"/>
    </row>
    <row r="26" spans="2:13" ht="9.9499999999999993" customHeight="1" x14ac:dyDescent="0.25">
      <c r="B26" s="116"/>
      <c r="C26" s="1"/>
      <c r="D26" s="1"/>
      <c r="E26" s="19"/>
      <c r="F26" s="74"/>
      <c r="G26" s="84"/>
      <c r="H26" s="85"/>
      <c r="I26" s="86"/>
      <c r="J26" s="77"/>
      <c r="K26" s="78"/>
      <c r="L26" s="77"/>
      <c r="M26" s="82"/>
    </row>
    <row r="27" spans="2:13" ht="9.9499999999999993" customHeight="1" x14ac:dyDescent="0.25">
      <c r="B27" s="116"/>
      <c r="C27" s="1"/>
      <c r="D27" s="1"/>
      <c r="E27" s="19"/>
      <c r="F27" s="74"/>
      <c r="G27" s="133"/>
      <c r="H27" s="134"/>
      <c r="I27" s="135"/>
      <c r="J27" s="79"/>
      <c r="K27" s="80"/>
      <c r="L27" s="79"/>
      <c r="M27" s="83"/>
    </row>
    <row r="28" spans="2:13" ht="9.9499999999999993" customHeight="1" x14ac:dyDescent="0.25">
      <c r="B28" s="116" t="s">
        <v>42</v>
      </c>
      <c r="C28" s="1"/>
      <c r="D28" s="1"/>
      <c r="E28" s="19"/>
      <c r="F28" s="74"/>
      <c r="G28" s="90" t="s">
        <v>6</v>
      </c>
      <c r="H28" s="91"/>
      <c r="I28" s="92"/>
      <c r="J28" s="75">
        <f>IF(Data!$E$4=1,Data!$M$12,IF(Data!$E$4=2,Data!$P$12,IF(AND(Data!$E$4=3,Rekonstrukce!F25=1),Data!$M$12,Data!$P$12)))</f>
        <v>397</v>
      </c>
      <c r="K28" s="76"/>
      <c r="L28" s="75">
        <f t="shared" ref="L28" si="3">J28*$L$4</f>
        <v>24768.83</v>
      </c>
      <c r="M28" s="81"/>
    </row>
    <row r="29" spans="2:13" ht="9.9499999999999993" customHeight="1" x14ac:dyDescent="0.25">
      <c r="B29" s="116"/>
      <c r="C29" s="1"/>
      <c r="D29" s="1"/>
      <c r="E29" s="19"/>
      <c r="F29" s="74">
        <v>1</v>
      </c>
      <c r="G29" s="84"/>
      <c r="H29" s="85"/>
      <c r="I29" s="86"/>
      <c r="J29" s="77"/>
      <c r="K29" s="78"/>
      <c r="L29" s="77"/>
      <c r="M29" s="82"/>
    </row>
    <row r="30" spans="2:13" ht="9.9499999999999993" customHeight="1" x14ac:dyDescent="0.25">
      <c r="B30" s="116"/>
      <c r="C30" s="1"/>
      <c r="D30" s="1"/>
      <c r="E30" s="19"/>
      <c r="F30" s="74"/>
      <c r="G30" s="133"/>
      <c r="H30" s="134"/>
      <c r="I30" s="135"/>
      <c r="J30" s="79"/>
      <c r="K30" s="80"/>
      <c r="L30" s="79"/>
      <c r="M30" s="83"/>
    </row>
    <row r="31" spans="2:13" ht="9.9499999999999993" customHeight="1" x14ac:dyDescent="0.25">
      <c r="B31" s="116"/>
      <c r="C31" s="69"/>
      <c r="D31" s="1"/>
      <c r="E31" s="19"/>
      <c r="F31" s="74"/>
      <c r="G31" s="140" t="s">
        <v>43</v>
      </c>
      <c r="H31" s="141"/>
      <c r="I31" s="141"/>
      <c r="J31" s="154">
        <f>IF(Data!$E$4=1,Data!$M$13,IF(Data!$E$4=2,Data!$P$13,IF(AND(Data!$E$4=3,Rekonstrukce!F29=1),Data!$M$13,Data!$P$13)))</f>
        <v>300</v>
      </c>
      <c r="K31" s="154"/>
      <c r="L31" s="154">
        <f t="shared" ref="L31" si="4">J31*$L$4</f>
        <v>18717</v>
      </c>
      <c r="M31" s="157"/>
    </row>
    <row r="32" spans="2:13" ht="9.9499999999999993" customHeight="1" x14ac:dyDescent="0.25">
      <c r="B32" s="116" t="s">
        <v>7</v>
      </c>
      <c r="C32" s="1"/>
      <c r="D32" s="1"/>
      <c r="E32" s="19"/>
      <c r="F32" s="74"/>
      <c r="G32" s="142"/>
      <c r="H32" s="143"/>
      <c r="I32" s="143"/>
      <c r="J32" s="155"/>
      <c r="K32" s="155"/>
      <c r="L32" s="155"/>
      <c r="M32" s="158"/>
    </row>
    <row r="33" spans="2:13" ht="9.9499999999999993" customHeight="1" x14ac:dyDescent="0.25">
      <c r="B33" s="116"/>
      <c r="C33" s="1"/>
      <c r="D33" s="1"/>
      <c r="E33" s="19"/>
      <c r="F33" s="74">
        <v>1</v>
      </c>
      <c r="G33" s="144"/>
      <c r="H33" s="145"/>
      <c r="I33" s="145"/>
      <c r="J33" s="156"/>
      <c r="K33" s="156"/>
      <c r="L33" s="156"/>
      <c r="M33" s="159"/>
    </row>
    <row r="34" spans="2:13" ht="9.9499999999999993" customHeight="1" x14ac:dyDescent="0.25">
      <c r="B34" s="116"/>
      <c r="C34" s="1"/>
      <c r="D34" s="1"/>
      <c r="E34" s="19"/>
      <c r="F34" s="74"/>
      <c r="G34" s="90" t="s">
        <v>7</v>
      </c>
      <c r="H34" s="91"/>
      <c r="I34" s="92"/>
      <c r="J34" s="75">
        <f>IF(Data!$E$4=1,Data!$M$14,IF(Data!$E$4=2,Data!$P$14,IF(AND(Data!$E$4=3,Rekonstrukce!F33=1),Data!$M$14,Data!$P$14)))</f>
        <v>716</v>
      </c>
      <c r="K34" s="76"/>
      <c r="L34" s="75">
        <f>J34*$L$4</f>
        <v>44671.24</v>
      </c>
      <c r="M34" s="81"/>
    </row>
    <row r="35" spans="2:13" ht="9.9499999999999993" customHeight="1" x14ac:dyDescent="0.25">
      <c r="B35" s="116"/>
      <c r="C35" s="1"/>
      <c r="D35" s="1"/>
      <c r="E35" s="19"/>
      <c r="F35" s="74"/>
      <c r="G35" s="84"/>
      <c r="H35" s="85"/>
      <c r="I35" s="86"/>
      <c r="J35" s="77"/>
      <c r="K35" s="78"/>
      <c r="L35" s="77"/>
      <c r="M35" s="82"/>
    </row>
    <row r="36" spans="2:13" ht="9.9499999999999993" customHeight="1" x14ac:dyDescent="0.25">
      <c r="B36" s="116" t="s">
        <v>8</v>
      </c>
      <c r="C36" s="1"/>
      <c r="D36" s="1"/>
      <c r="E36" s="19"/>
      <c r="F36" s="74"/>
      <c r="G36" s="133"/>
      <c r="H36" s="134"/>
      <c r="I36" s="135"/>
      <c r="J36" s="79"/>
      <c r="K36" s="80"/>
      <c r="L36" s="79"/>
      <c r="M36" s="83"/>
    </row>
    <row r="37" spans="2:13" ht="9.9499999999999993" customHeight="1" x14ac:dyDescent="0.25">
      <c r="B37" s="116"/>
      <c r="C37" s="1"/>
      <c r="D37" s="1"/>
      <c r="E37" s="19"/>
      <c r="F37" s="74">
        <v>1</v>
      </c>
      <c r="G37" s="90" t="s">
        <v>8</v>
      </c>
      <c r="H37" s="91"/>
      <c r="I37" s="92"/>
      <c r="J37" s="75">
        <f>IF(Data!$E$4=1,Data!$M$15,IF(Data!$E$4=2,Data!$P$15,IF(AND(Data!$E$4=3,Rekonstrukce!F37=1),Data!$M$15,0)))</f>
        <v>977</v>
      </c>
      <c r="K37" s="76"/>
      <c r="L37" s="75">
        <f t="shared" ref="L37" si="5">J37*$L$4</f>
        <v>60955.03</v>
      </c>
      <c r="M37" s="81"/>
    </row>
    <row r="38" spans="2:13" ht="9.9499999999999993" customHeight="1" x14ac:dyDescent="0.25">
      <c r="B38" s="116"/>
      <c r="C38" s="1"/>
      <c r="D38" s="1"/>
      <c r="E38" s="19"/>
      <c r="F38" s="74"/>
      <c r="G38" s="84"/>
      <c r="H38" s="85"/>
      <c r="I38" s="86"/>
      <c r="J38" s="77"/>
      <c r="K38" s="78"/>
      <c r="L38" s="77"/>
      <c r="M38" s="82"/>
    </row>
    <row r="39" spans="2:13" ht="9.9499999999999993" customHeight="1" thickBot="1" x14ac:dyDescent="0.3">
      <c r="B39" s="139"/>
      <c r="C39" s="20"/>
      <c r="D39" s="20"/>
      <c r="E39" s="21"/>
      <c r="F39" s="74"/>
      <c r="G39" s="136"/>
      <c r="H39" s="137"/>
      <c r="I39" s="138"/>
      <c r="J39" s="151"/>
      <c r="K39" s="152"/>
      <c r="L39" s="151"/>
      <c r="M39" s="153"/>
    </row>
    <row r="40" spans="2:13" ht="20.100000000000001" customHeight="1" thickBot="1" x14ac:dyDescent="0.3">
      <c r="F40" s="70"/>
      <c r="M40" s="22"/>
    </row>
    <row r="41" spans="2:13" s="38" customFormat="1" ht="9.9499999999999993" customHeight="1" x14ac:dyDescent="0.25">
      <c r="B41" s="35"/>
      <c r="C41" s="36"/>
      <c r="D41" s="36"/>
      <c r="E41" s="36"/>
      <c r="F41" s="60"/>
      <c r="G41" s="36"/>
      <c r="H41" s="36"/>
      <c r="I41" s="36"/>
      <c r="J41" s="36"/>
      <c r="K41" s="36"/>
      <c r="L41" s="36"/>
      <c r="M41" s="37"/>
    </row>
    <row r="42" spans="2:13" s="38" customFormat="1" ht="24.95" customHeight="1" x14ac:dyDescent="0.25">
      <c r="B42" s="129" t="s">
        <v>30</v>
      </c>
      <c r="C42" s="130"/>
      <c r="D42" s="130"/>
      <c r="E42" s="130"/>
      <c r="F42" s="130"/>
      <c r="G42" s="39"/>
      <c r="H42" s="39"/>
      <c r="I42" s="39"/>
      <c r="J42" s="148">
        <f>SUM($J$10:$K$39)</f>
        <v>6986</v>
      </c>
      <c r="K42" s="148"/>
      <c r="L42" s="150" t="s">
        <v>28</v>
      </c>
      <c r="M42" s="111"/>
    </row>
    <row r="43" spans="2:13" s="38" customFormat="1" ht="9.9499999999999993" customHeight="1" thickBot="1" x14ac:dyDescent="0.3">
      <c r="B43" s="30"/>
      <c r="C43" s="31"/>
      <c r="D43" s="31"/>
      <c r="E43" s="31"/>
      <c r="F43" s="61"/>
      <c r="G43" s="40"/>
      <c r="H43" s="40"/>
      <c r="I43" s="40"/>
      <c r="J43" s="29"/>
      <c r="K43" s="45"/>
      <c r="L43" s="28"/>
      <c r="M43" s="17"/>
    </row>
    <row r="44" spans="2:13" s="38" customFormat="1" ht="9.9499999999999993" customHeight="1" thickBot="1" x14ac:dyDescent="0.3">
      <c r="B44" s="32"/>
      <c r="C44" s="32"/>
      <c r="D44" s="32"/>
      <c r="E44" s="32"/>
      <c r="F44" s="62"/>
      <c r="J44" s="25"/>
      <c r="K44" s="46"/>
      <c r="L44" s="24"/>
      <c r="M44" s="24"/>
    </row>
    <row r="45" spans="2:13" s="38" customFormat="1" ht="9.9499999999999993" customHeight="1" x14ac:dyDescent="0.25">
      <c r="B45" s="33"/>
      <c r="C45" s="34"/>
      <c r="D45" s="34"/>
      <c r="E45" s="34"/>
      <c r="F45" s="63"/>
      <c r="G45" s="36"/>
      <c r="H45" s="36"/>
      <c r="I45" s="36"/>
      <c r="J45" s="27"/>
      <c r="K45" s="47"/>
      <c r="L45" s="26"/>
      <c r="M45" s="16"/>
    </row>
    <row r="46" spans="2:13" s="38" customFormat="1" ht="24.95" customHeight="1" x14ac:dyDescent="0.25">
      <c r="B46" s="129" t="s">
        <v>26</v>
      </c>
      <c r="C46" s="130"/>
      <c r="D46" s="130"/>
      <c r="E46" s="130"/>
      <c r="F46" s="130"/>
      <c r="G46" s="39"/>
      <c r="H46" s="39"/>
      <c r="I46" s="39"/>
      <c r="J46" s="148">
        <f>SUM($L$10:$M$39)</f>
        <v>435856.54000000004</v>
      </c>
      <c r="K46" s="148"/>
      <c r="L46" s="150" t="s">
        <v>29</v>
      </c>
      <c r="M46" s="111"/>
    </row>
    <row r="47" spans="2:13" s="38" customFormat="1" ht="9.9499999999999993" customHeight="1" thickBot="1" x14ac:dyDescent="0.3">
      <c r="B47" s="42"/>
      <c r="C47" s="31"/>
      <c r="D47" s="31"/>
      <c r="E47" s="31"/>
      <c r="F47" s="61"/>
      <c r="G47" s="40"/>
      <c r="H47" s="40"/>
      <c r="I47" s="40"/>
      <c r="J47" s="29"/>
      <c r="K47" s="45"/>
      <c r="L47" s="28"/>
      <c r="M47" s="17"/>
    </row>
    <row r="48" spans="2:13" s="38" customFormat="1" ht="9.9499999999999993" customHeight="1" thickBot="1" x14ac:dyDescent="0.3">
      <c r="B48" s="43"/>
      <c r="C48" s="32"/>
      <c r="D48" s="32"/>
      <c r="E48" s="32"/>
      <c r="F48" s="62"/>
      <c r="J48" s="25"/>
      <c r="K48" s="46"/>
      <c r="L48" s="24"/>
      <c r="M48" s="24"/>
    </row>
    <row r="49" spans="2:13" s="38" customFormat="1" ht="9.9499999999999993" customHeight="1" x14ac:dyDescent="0.25">
      <c r="B49" s="44"/>
      <c r="C49" s="34"/>
      <c r="D49" s="34"/>
      <c r="E49" s="34"/>
      <c r="F49" s="63"/>
      <c r="G49" s="36"/>
      <c r="H49" s="36"/>
      <c r="I49" s="36"/>
      <c r="J49" s="27"/>
      <c r="K49" s="47"/>
      <c r="L49" s="26"/>
      <c r="M49" s="16"/>
    </row>
    <row r="50" spans="2:13" s="38" customFormat="1" ht="24.95" customHeight="1" x14ac:dyDescent="0.25">
      <c r="B50" s="129" t="s">
        <v>25</v>
      </c>
      <c r="C50" s="130"/>
      <c r="D50" s="130"/>
      <c r="E50" s="130"/>
      <c r="F50" s="130"/>
      <c r="G50" s="41"/>
      <c r="H50" s="59">
        <v>5</v>
      </c>
      <c r="I50" s="41" t="s">
        <v>31</v>
      </c>
      <c r="J50" s="148">
        <f>$J$46*$H$50/100</f>
        <v>21792.827000000001</v>
      </c>
      <c r="K50" s="148"/>
      <c r="L50" s="150" t="s">
        <v>29</v>
      </c>
      <c r="M50" s="111"/>
    </row>
    <row r="51" spans="2:13" s="38" customFormat="1" ht="9.9499999999999993" customHeight="1" thickBot="1" x14ac:dyDescent="0.3">
      <c r="B51" s="42"/>
      <c r="C51" s="31"/>
      <c r="D51" s="31"/>
      <c r="E51" s="31"/>
      <c r="F51" s="61"/>
      <c r="G51" s="40"/>
      <c r="H51" s="40"/>
      <c r="I51" s="40"/>
      <c r="J51" s="29"/>
      <c r="K51" s="45"/>
      <c r="L51" s="28"/>
      <c r="M51" s="17"/>
    </row>
    <row r="52" spans="2:13" s="38" customFormat="1" ht="9.9499999999999993" customHeight="1" thickBot="1" x14ac:dyDescent="0.3">
      <c r="B52" s="43"/>
      <c r="C52" s="32"/>
      <c r="D52" s="32"/>
      <c r="E52" s="32"/>
      <c r="F52" s="62"/>
      <c r="J52" s="25"/>
      <c r="K52" s="46"/>
      <c r="L52" s="24"/>
      <c r="M52" s="24"/>
    </row>
    <row r="53" spans="2:13" s="38" customFormat="1" ht="9.9499999999999993" customHeight="1" x14ac:dyDescent="0.25">
      <c r="B53" s="48"/>
      <c r="C53" s="49"/>
      <c r="D53" s="49"/>
      <c r="E53" s="49"/>
      <c r="F53" s="64"/>
      <c r="G53" s="50"/>
      <c r="H53" s="50"/>
      <c r="I53" s="50"/>
      <c r="J53" s="51"/>
      <c r="K53" s="52"/>
      <c r="L53" s="53"/>
      <c r="M53" s="54"/>
    </row>
    <row r="54" spans="2:13" s="38" customFormat="1" ht="24.95" customHeight="1" x14ac:dyDescent="0.25">
      <c r="B54" s="131" t="s">
        <v>27</v>
      </c>
      <c r="C54" s="132"/>
      <c r="D54" s="132"/>
      <c r="E54" s="132"/>
      <c r="F54" s="132"/>
      <c r="G54" s="55"/>
      <c r="H54" s="55"/>
      <c r="I54" s="55"/>
      <c r="J54" s="149">
        <f>$J$46+$J$50</f>
        <v>457649.36700000003</v>
      </c>
      <c r="K54" s="149"/>
      <c r="L54" s="146" t="s">
        <v>29</v>
      </c>
      <c r="M54" s="147"/>
    </row>
    <row r="55" spans="2:13" s="38" customFormat="1" ht="9.9499999999999993" customHeight="1" thickBot="1" x14ac:dyDescent="0.3">
      <c r="B55" s="56"/>
      <c r="C55" s="57"/>
      <c r="D55" s="57"/>
      <c r="E55" s="57"/>
      <c r="F55" s="65"/>
      <c r="G55" s="57"/>
      <c r="H55" s="57"/>
      <c r="I55" s="57"/>
      <c r="J55" s="57"/>
      <c r="K55" s="57"/>
      <c r="L55" s="57"/>
      <c r="M55" s="58"/>
    </row>
    <row r="56" spans="2:13" ht="20.100000000000001" customHeight="1" x14ac:dyDescent="0.25"/>
    <row r="57" spans="2:13" ht="20.100000000000001" customHeight="1" x14ac:dyDescent="0.25"/>
    <row r="58" spans="2:13" ht="20.100000000000001" customHeight="1" x14ac:dyDescent="0.25"/>
    <row r="59" spans="2:13" ht="20.100000000000001" customHeight="1" x14ac:dyDescent="0.25"/>
  </sheetData>
  <mergeCells count="60">
    <mergeCell ref="J28:K30"/>
    <mergeCell ref="L28:M30"/>
    <mergeCell ref="J37:K39"/>
    <mergeCell ref="L37:M39"/>
    <mergeCell ref="L50:M50"/>
    <mergeCell ref="L34:M36"/>
    <mergeCell ref="J31:K33"/>
    <mergeCell ref="L31:M33"/>
    <mergeCell ref="J34:K36"/>
    <mergeCell ref="L54:M54"/>
    <mergeCell ref="J42:K42"/>
    <mergeCell ref="J46:K46"/>
    <mergeCell ref="J50:K50"/>
    <mergeCell ref="J54:K54"/>
    <mergeCell ref="L42:M42"/>
    <mergeCell ref="L46:M46"/>
    <mergeCell ref="B50:F50"/>
    <mergeCell ref="B54:F54"/>
    <mergeCell ref="G19:I21"/>
    <mergeCell ref="G28:I30"/>
    <mergeCell ref="G37:I39"/>
    <mergeCell ref="B42:F42"/>
    <mergeCell ref="B46:F46"/>
    <mergeCell ref="B20:B23"/>
    <mergeCell ref="B24:B27"/>
    <mergeCell ref="B28:B31"/>
    <mergeCell ref="B32:B35"/>
    <mergeCell ref="B36:B39"/>
    <mergeCell ref="B16:B19"/>
    <mergeCell ref="G31:I33"/>
    <mergeCell ref="G25:I27"/>
    <mergeCell ref="G34:I36"/>
    <mergeCell ref="A1:N1"/>
    <mergeCell ref="J10:K12"/>
    <mergeCell ref="L10:M12"/>
    <mergeCell ref="G12:I12"/>
    <mergeCell ref="G3:J5"/>
    <mergeCell ref="B3:C5"/>
    <mergeCell ref="M3:M5"/>
    <mergeCell ref="B7:E7"/>
    <mergeCell ref="B8:B11"/>
    <mergeCell ref="B12:B15"/>
    <mergeCell ref="G7:I9"/>
    <mergeCell ref="J7:K9"/>
    <mergeCell ref="L7:M9"/>
    <mergeCell ref="L13:M15"/>
    <mergeCell ref="J25:K27"/>
    <mergeCell ref="L25:M27"/>
    <mergeCell ref="G10:I11"/>
    <mergeCell ref="G15:I15"/>
    <mergeCell ref="G13:I14"/>
    <mergeCell ref="J13:K15"/>
    <mergeCell ref="L16:M18"/>
    <mergeCell ref="J19:K21"/>
    <mergeCell ref="L19:M21"/>
    <mergeCell ref="L22:M24"/>
    <mergeCell ref="G22:I24"/>
    <mergeCell ref="J22:K24"/>
    <mergeCell ref="G16:I18"/>
    <mergeCell ref="J16:K18"/>
  </mergeCells>
  <dataValidations count="1">
    <dataValidation type="custom" errorStyle="warning" allowBlank="1" showInputMessage="1" showErrorMessage="1" prompt="Zadejte podlahovou plochu v rozmezí 30 až 90 m2." sqref="L4">
      <formula1>IF(AND($L$4&gt;=30,$L$4&lt;=90),$L$4,"neplatný rozsah")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85725</xdr:colOff>
                    <xdr:row>2</xdr:row>
                    <xdr:rowOff>95250</xdr:rowOff>
                  </from>
                  <to>
                    <xdr:col>4</xdr:col>
                    <xdr:colOff>409575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" name="Spinner 33">
              <controlPr defaultSize="0" autoPict="0">
                <anchor moveWithCells="1" sizeWithCells="1">
                  <from>
                    <xdr:col>10</xdr:col>
                    <xdr:colOff>142875</xdr:colOff>
                    <xdr:row>2</xdr:row>
                    <xdr:rowOff>38100</xdr:rowOff>
                  </from>
                  <to>
                    <xdr:col>10</xdr:col>
                    <xdr:colOff>504825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Spinner 34">
              <controlPr defaultSize="0" autoPict="0">
                <anchor moveWithCells="1" sizeWithCells="1">
                  <from>
                    <xdr:col>5</xdr:col>
                    <xdr:colOff>628650</xdr:colOff>
                    <xdr:row>48</xdr:row>
                    <xdr:rowOff>66675</xdr:rowOff>
                  </from>
                  <to>
                    <xdr:col>6</xdr:col>
                    <xdr:colOff>342900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Drop Down 35">
              <controlPr defaultSize="0" autoLine="0" autoPict="0" altText="">
                <anchor moveWithCells="1">
                  <from>
                    <xdr:col>2</xdr:col>
                    <xdr:colOff>57150</xdr:colOff>
                    <xdr:row>35</xdr:row>
                    <xdr:rowOff>123825</xdr:rowOff>
                  </from>
                  <to>
                    <xdr:col>4</xdr:col>
                    <xdr:colOff>628650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Drop Down 36">
              <controlPr defaultSize="0" autoLine="0" autoPict="0">
                <anchor moveWithCells="1">
                  <from>
                    <xdr:col>2</xdr:col>
                    <xdr:colOff>57150</xdr:colOff>
                    <xdr:row>31</xdr:row>
                    <xdr:rowOff>123825</xdr:rowOff>
                  </from>
                  <to>
                    <xdr:col>4</xdr:col>
                    <xdr:colOff>628650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Drop Down 37">
              <controlPr defaultSize="0" autoLine="0" autoPict="0">
                <anchor moveWithCells="1">
                  <from>
                    <xdr:col>2</xdr:col>
                    <xdr:colOff>57150</xdr:colOff>
                    <xdr:row>27</xdr:row>
                    <xdr:rowOff>123825</xdr:rowOff>
                  </from>
                  <to>
                    <xdr:col>4</xdr:col>
                    <xdr:colOff>628650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Drop Down 38">
              <controlPr defaultSize="0" autoLine="0" autoPict="0">
                <anchor moveWithCells="1">
                  <from>
                    <xdr:col>2</xdr:col>
                    <xdr:colOff>57150</xdr:colOff>
                    <xdr:row>23</xdr:row>
                    <xdr:rowOff>123825</xdr:rowOff>
                  </from>
                  <to>
                    <xdr:col>4</xdr:col>
                    <xdr:colOff>628650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Drop Down 39">
              <controlPr defaultSize="0" autoLine="0" autoPict="0">
                <anchor moveWithCells="1">
                  <from>
                    <xdr:col>2</xdr:col>
                    <xdr:colOff>57150</xdr:colOff>
                    <xdr:row>19</xdr:row>
                    <xdr:rowOff>123825</xdr:rowOff>
                  </from>
                  <to>
                    <xdr:col>4</xdr:col>
                    <xdr:colOff>628650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Drop Down 40">
              <controlPr defaultSize="0" autoLine="0" autoPict="0">
                <anchor moveWithCells="1">
                  <from>
                    <xdr:col>2</xdr:col>
                    <xdr:colOff>57150</xdr:colOff>
                    <xdr:row>11</xdr:row>
                    <xdr:rowOff>123825</xdr:rowOff>
                  </from>
                  <to>
                    <xdr:col>4</xdr:col>
                    <xdr:colOff>628650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Drop Down 41">
              <controlPr defaultSize="0" autoLine="0" autoPict="0">
                <anchor moveWithCells="1">
                  <from>
                    <xdr:col>2</xdr:col>
                    <xdr:colOff>57150</xdr:colOff>
                    <xdr:row>7</xdr:row>
                    <xdr:rowOff>123825</xdr:rowOff>
                  </from>
                  <to>
                    <xdr:col>4</xdr:col>
                    <xdr:colOff>628650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4" name="Drop Down 42">
              <controlPr defaultSize="0" autoLine="0" autoPict="0">
                <anchor moveWithCells="1">
                  <from>
                    <xdr:col>2</xdr:col>
                    <xdr:colOff>57150</xdr:colOff>
                    <xdr:row>15</xdr:row>
                    <xdr:rowOff>123825</xdr:rowOff>
                  </from>
                  <to>
                    <xdr:col>4</xdr:col>
                    <xdr:colOff>628650</xdr:colOff>
                    <xdr:row>17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0"/>
  <sheetViews>
    <sheetView zoomScaleNormal="100" workbookViewId="0"/>
  </sheetViews>
  <sheetFormatPr defaultRowHeight="15" x14ac:dyDescent="0.25"/>
  <cols>
    <col min="1" max="1" width="5.7109375" customWidth="1"/>
    <col min="2" max="2" width="6.7109375" customWidth="1"/>
    <col min="3" max="3" width="3.7109375" customWidth="1"/>
    <col min="4" max="5" width="15.7109375" customWidth="1"/>
    <col min="6" max="6" width="3.7109375" customWidth="1"/>
    <col min="7" max="7" width="5.7109375" customWidth="1"/>
    <col min="8" max="10" width="35.7109375" customWidth="1"/>
    <col min="11" max="11" width="5.7109375" customWidth="1"/>
    <col min="12" max="12" width="8.7109375" customWidth="1"/>
    <col min="13" max="18" width="6.7109375" customWidth="1"/>
  </cols>
  <sheetData>
    <row r="2" spans="2:18" x14ac:dyDescent="0.25">
      <c r="H2">
        <v>1</v>
      </c>
      <c r="I2" s="6" t="s">
        <v>0</v>
      </c>
    </row>
    <row r="3" spans="2:18" x14ac:dyDescent="0.25">
      <c r="H3">
        <v>2</v>
      </c>
      <c r="I3" s="6" t="s">
        <v>1</v>
      </c>
      <c r="M3" s="160" t="s">
        <v>63</v>
      </c>
      <c r="N3" s="160"/>
      <c r="O3" s="160"/>
      <c r="P3" s="160"/>
      <c r="Q3" s="160"/>
      <c r="R3" s="160"/>
    </row>
    <row r="4" spans="2:18" x14ac:dyDescent="0.25">
      <c r="D4" s="5" t="str">
        <f>VLOOKUP(E4,H2:I4,2)</f>
        <v>Standard</v>
      </c>
      <c r="E4" s="4">
        <v>1</v>
      </c>
      <c r="H4">
        <v>3</v>
      </c>
      <c r="I4" s="6" t="s">
        <v>2</v>
      </c>
      <c r="M4" s="161" t="s">
        <v>0</v>
      </c>
      <c r="N4" s="162"/>
      <c r="O4" s="163"/>
      <c r="P4" s="161" t="s">
        <v>1</v>
      </c>
      <c r="Q4" s="162"/>
      <c r="R4" s="163"/>
    </row>
    <row r="5" spans="2:18" x14ac:dyDescent="0.25">
      <c r="F5" s="1"/>
      <c r="L5" s="1"/>
      <c r="M5" s="165" t="s">
        <v>21</v>
      </c>
      <c r="N5" s="166"/>
      <c r="O5" s="167"/>
      <c r="P5" s="165" t="s">
        <v>21</v>
      </c>
      <c r="Q5" s="166"/>
      <c r="R5" s="167"/>
    </row>
    <row r="6" spans="2:18" x14ac:dyDescent="0.25">
      <c r="H6" s="2">
        <v>1</v>
      </c>
      <c r="I6" s="2">
        <v>2</v>
      </c>
      <c r="J6" s="2">
        <v>3</v>
      </c>
      <c r="L6" s="3" t="s">
        <v>9</v>
      </c>
      <c r="M6" s="161">
        <f>ROUND((0.8885*Rekonstrukce!$L$4+615.72),0)</f>
        <v>671</v>
      </c>
      <c r="N6" s="162"/>
      <c r="O6" s="163"/>
      <c r="P6" s="161">
        <f>ROUND((1.157*Rekonstrukce!$L$4+982.4),0)</f>
        <v>1055</v>
      </c>
      <c r="Q6" s="162"/>
      <c r="R6" s="163"/>
    </row>
    <row r="7" spans="2:18" x14ac:dyDescent="0.25">
      <c r="B7" s="164" t="s">
        <v>11</v>
      </c>
      <c r="C7" s="71">
        <v>2</v>
      </c>
      <c r="D7" s="3" t="str">
        <f t="shared" ref="D7:D11" si="0">HLOOKUP($E$4,$H$6:$J$12,C7)</f>
        <v>laminátová plovoucí podlaha</v>
      </c>
      <c r="E7" s="3" t="str">
        <f>IF(D7=0," ",D7)</f>
        <v>laminátová plovoucí podlaha</v>
      </c>
      <c r="F7" s="3">
        <f>IF(D7=0,"",1)</f>
        <v>1</v>
      </c>
      <c r="H7" s="66" t="s">
        <v>32</v>
      </c>
      <c r="I7" s="66" t="s">
        <v>33</v>
      </c>
      <c r="J7" s="66" t="s">
        <v>32</v>
      </c>
      <c r="L7" s="3" t="s">
        <v>10</v>
      </c>
      <c r="M7" s="161">
        <f>ROUND((-12.3715*Rekonstrukce!$L$4+2321.38),0)</f>
        <v>1550</v>
      </c>
      <c r="N7" s="162"/>
      <c r="O7" s="163"/>
      <c r="P7" s="161">
        <f>ROUND((-12.3302*Rekonstrukce!$L$4+2276.79),0)</f>
        <v>1508</v>
      </c>
      <c r="Q7" s="162"/>
      <c r="R7" s="163"/>
    </row>
    <row r="8" spans="2:18" x14ac:dyDescent="0.25">
      <c r="B8" s="164"/>
      <c r="C8" s="71">
        <v>3</v>
      </c>
      <c r="D8" s="3" t="str">
        <f t="shared" si="0"/>
        <v>PVC podlaha</v>
      </c>
      <c r="E8" s="3" t="str">
        <f t="shared" ref="E8:E12" si="1">IF(D8=0," ",D8)</f>
        <v>PVC podlaha</v>
      </c>
      <c r="F8" s="3">
        <f t="shared" ref="F8:F12" si="2">IF(D8=0,"",1)</f>
        <v>1</v>
      </c>
      <c r="H8" s="66" t="s">
        <v>47</v>
      </c>
      <c r="I8" s="66" t="s">
        <v>49</v>
      </c>
      <c r="J8" s="66" t="s">
        <v>47</v>
      </c>
      <c r="L8" s="3" t="s">
        <v>11</v>
      </c>
      <c r="M8" s="4">
        <f>ROUND((1.3157*Rekonstrukce!$L$4+590.04),0)</f>
        <v>672</v>
      </c>
      <c r="N8" s="4">
        <f>ROUND((1.7082*Rekonstrukce!$L$4+407.1),0)</f>
        <v>514</v>
      </c>
      <c r="O8" s="4">
        <f>ROUND((1.143*Rekonstrukce!$L$4+528.63),0)</f>
        <v>600</v>
      </c>
      <c r="P8" s="4">
        <f>ROUND((-0.6857*Rekonstrukce!$L$4+1540.72),0)</f>
        <v>1498</v>
      </c>
      <c r="Q8" s="4">
        <f>ROUND((-0.468*Rekonstrukce!$L$4+1437.33),0)</f>
        <v>1408</v>
      </c>
      <c r="R8" s="4">
        <f>ROUND((-0.0623*Rekonstrukce!$L$4+1244.6),0)</f>
        <v>1241</v>
      </c>
    </row>
    <row r="9" spans="2:18" x14ac:dyDescent="0.25">
      <c r="B9" s="164"/>
      <c r="C9" s="71">
        <v>4</v>
      </c>
      <c r="D9" s="3" t="str">
        <f t="shared" si="0"/>
        <v>koberec</v>
      </c>
      <c r="E9" s="3" t="str">
        <f t="shared" si="1"/>
        <v>koberec</v>
      </c>
      <c r="F9" s="3">
        <f t="shared" si="2"/>
        <v>1</v>
      </c>
      <c r="H9" s="66" t="s">
        <v>48</v>
      </c>
      <c r="I9" s="66" t="s">
        <v>50</v>
      </c>
      <c r="J9" s="66" t="s">
        <v>48</v>
      </c>
      <c r="L9" s="3" t="s">
        <v>12</v>
      </c>
      <c r="M9" s="161">
        <f>ROUND((-1.7615*Rekonstrukce!$L$4+374.48),0)</f>
        <v>265</v>
      </c>
      <c r="N9" s="162"/>
      <c r="O9" s="163"/>
      <c r="P9" s="161">
        <f>ROUND((-3.2705*Rekonstrukce!$L$4+696.42),0)</f>
        <v>492</v>
      </c>
      <c r="Q9" s="162"/>
      <c r="R9" s="163"/>
    </row>
    <row r="10" spans="2:18" x14ac:dyDescent="0.25">
      <c r="B10" s="164"/>
      <c r="C10" s="71">
        <v>5</v>
      </c>
      <c r="D10" s="3">
        <f t="shared" si="0"/>
        <v>0</v>
      </c>
      <c r="E10" s="3" t="str">
        <f t="shared" si="1"/>
        <v xml:space="preserve"> </v>
      </c>
      <c r="F10" s="3" t="str">
        <f t="shared" si="2"/>
        <v/>
      </c>
      <c r="H10" s="66"/>
      <c r="I10" s="66"/>
      <c r="J10" s="66" t="s">
        <v>33</v>
      </c>
      <c r="L10" s="3" t="s">
        <v>53</v>
      </c>
      <c r="M10" s="161">
        <f>ROUND((-4.1179*Rekonstrukce!$L$4+1379.37),0)</f>
        <v>1122</v>
      </c>
      <c r="N10" s="162"/>
      <c r="O10" s="163"/>
      <c r="P10" s="161">
        <f>ROUND((-3.7174*Rekonstrukce!$L$4+1422.21),0)</f>
        <v>1190</v>
      </c>
      <c r="Q10" s="162"/>
      <c r="R10" s="163"/>
    </row>
    <row r="11" spans="2:18" x14ac:dyDescent="0.25">
      <c r="B11" s="164"/>
      <c r="C11" s="71">
        <v>6</v>
      </c>
      <c r="D11" s="3">
        <f t="shared" si="0"/>
        <v>0</v>
      </c>
      <c r="E11" s="3" t="str">
        <f t="shared" si="1"/>
        <v xml:space="preserve"> </v>
      </c>
      <c r="F11" s="3" t="str">
        <f t="shared" si="2"/>
        <v/>
      </c>
      <c r="H11" s="66"/>
      <c r="I11" s="66"/>
      <c r="J11" s="66" t="s">
        <v>49</v>
      </c>
      <c r="L11" s="3" t="s">
        <v>54</v>
      </c>
      <c r="M11" s="161">
        <f>ROUND((-0.3545*Rekonstrukce!$L$4+337.62),0)</f>
        <v>316</v>
      </c>
      <c r="N11" s="162"/>
      <c r="O11" s="163"/>
      <c r="P11" s="161">
        <f>ROUND((-0.4992*Rekonstrukce!$L$4+461.08),0)</f>
        <v>430</v>
      </c>
      <c r="Q11" s="162"/>
      <c r="R11" s="163"/>
    </row>
    <row r="12" spans="2:18" x14ac:dyDescent="0.25">
      <c r="B12" s="164"/>
      <c r="C12" s="71">
        <v>7</v>
      </c>
      <c r="D12" s="3">
        <f>HLOOKUP($E$4,$H$6:$J$12,C12)</f>
        <v>0</v>
      </c>
      <c r="E12" s="3" t="str">
        <f t="shared" si="1"/>
        <v xml:space="preserve"> </v>
      </c>
      <c r="F12" s="3" t="str">
        <f t="shared" si="2"/>
        <v/>
      </c>
      <c r="H12" s="66"/>
      <c r="I12" s="66"/>
      <c r="J12" s="66" t="s">
        <v>50</v>
      </c>
      <c r="L12" s="3" t="s">
        <v>13</v>
      </c>
      <c r="M12" s="161">
        <f>ROUND((-2.687*Rekonstrukce!$L$4+564.23),0)</f>
        <v>397</v>
      </c>
      <c r="N12" s="162"/>
      <c r="O12" s="163"/>
      <c r="P12" s="161">
        <f>ROUND((-3.6558*Rekonstrukce!$L$4+782.49),0)</f>
        <v>554</v>
      </c>
      <c r="Q12" s="162"/>
      <c r="R12" s="163"/>
    </row>
    <row r="13" spans="2:18" x14ac:dyDescent="0.25">
      <c r="D13" s="1"/>
      <c r="E13" s="1"/>
      <c r="F13" s="1"/>
      <c r="L13" s="3" t="s">
        <v>59</v>
      </c>
      <c r="M13" s="161">
        <f>ROUND((-1.3011*Rekonstrukce!$L$4+381.43),0)</f>
        <v>300</v>
      </c>
      <c r="N13" s="162"/>
      <c r="O13" s="163"/>
      <c r="P13" s="161">
        <f>ROUND((-2.6386*Rekonstrukce!$L$4+939.73),0)</f>
        <v>775</v>
      </c>
      <c r="Q13" s="162"/>
      <c r="R13" s="163"/>
    </row>
    <row r="14" spans="2:18" x14ac:dyDescent="0.25">
      <c r="D14" s="1"/>
      <c r="E14" s="1"/>
      <c r="H14" s="2">
        <v>1</v>
      </c>
      <c r="I14" s="2">
        <v>2</v>
      </c>
      <c r="J14" s="2">
        <v>3</v>
      </c>
      <c r="L14" s="3" t="s">
        <v>14</v>
      </c>
      <c r="M14" s="161">
        <f>ROUND((-7.397*Rekonstrukce!$L$4+1177.94),0)</f>
        <v>716</v>
      </c>
      <c r="N14" s="162"/>
      <c r="O14" s="163"/>
      <c r="P14" s="161">
        <f>ROUND((-12.6342*Rekonstrukce!$L$4+1843.92),0)</f>
        <v>1056</v>
      </c>
      <c r="Q14" s="162"/>
      <c r="R14" s="163"/>
    </row>
    <row r="15" spans="2:18" x14ac:dyDescent="0.25">
      <c r="B15" s="164" t="s">
        <v>12</v>
      </c>
      <c r="C15" s="3">
        <v>2</v>
      </c>
      <c r="D15" s="3" t="str">
        <f>HLOOKUP($E$4,$H$14:$J$16,C15)</f>
        <v>standardní keramická dlažba běžného formátu</v>
      </c>
      <c r="E15" s="3" t="str">
        <f>IF(D15=0," ",D15)</f>
        <v>standardní keramická dlažba běžného formátu</v>
      </c>
      <c r="F15" s="3">
        <f>IF(D15=0,"",1)</f>
        <v>1</v>
      </c>
      <c r="H15" s="66" t="s">
        <v>40</v>
      </c>
      <c r="I15" s="66" t="s">
        <v>41</v>
      </c>
      <c r="J15" s="66" t="s">
        <v>40</v>
      </c>
      <c r="L15" s="3" t="s">
        <v>15</v>
      </c>
      <c r="M15" s="161">
        <f>ROUND((5.6937*Rekonstrukce!$L$4+622.03),0)</f>
        <v>977</v>
      </c>
      <c r="N15" s="162"/>
      <c r="O15" s="163"/>
      <c r="P15" s="161">
        <f>M15</f>
        <v>977</v>
      </c>
      <c r="Q15" s="162"/>
      <c r="R15" s="163"/>
    </row>
    <row r="16" spans="2:18" x14ac:dyDescent="0.25">
      <c r="B16" s="164"/>
      <c r="C16" s="3">
        <v>3</v>
      </c>
      <c r="D16" s="3">
        <f>HLOOKUP($E$4,$H$14:$J$16,C16)</f>
        <v>0</v>
      </c>
      <c r="E16" s="3" t="str">
        <f>IF(D16=0," ",D16)</f>
        <v xml:space="preserve"> </v>
      </c>
      <c r="F16" s="3" t="str">
        <f>IF(D16=0,"",1)</f>
        <v/>
      </c>
      <c r="H16" s="66"/>
      <c r="I16" s="66"/>
      <c r="J16" s="66" t="s">
        <v>41</v>
      </c>
      <c r="L16" t="s">
        <v>20</v>
      </c>
      <c r="M16" s="72">
        <f>SUM(M6:O7)+SUM(M9:O15)+M8</f>
        <v>6986</v>
      </c>
      <c r="N16" s="72">
        <f>SUM(M6:O7)+SUM(M9:O15)+N8</f>
        <v>6828</v>
      </c>
      <c r="O16" s="72">
        <f>SUM(M6:O7)+SUM(M9:O15)+O8</f>
        <v>6914</v>
      </c>
      <c r="P16" s="72">
        <f>SUM(P6:R7)+SUM(P9:R15)+P8</f>
        <v>9535</v>
      </c>
      <c r="Q16" s="72">
        <f>SUM(P6:R7)+SUM(P9:R15)+Q8</f>
        <v>9445</v>
      </c>
      <c r="R16" s="72">
        <f>SUM(P6:R7)+SUM(P9:R15)+R8</f>
        <v>9278</v>
      </c>
    </row>
    <row r="17" spans="2:18" x14ac:dyDescent="0.25">
      <c r="D17" s="1"/>
      <c r="E17" s="1"/>
      <c r="F17" s="1"/>
    </row>
    <row r="18" spans="2:18" x14ac:dyDescent="0.25">
      <c r="D18" s="1"/>
      <c r="E18" s="1"/>
      <c r="H18" s="2">
        <v>1</v>
      </c>
      <c r="I18" s="2">
        <v>2</v>
      </c>
      <c r="J18" s="2">
        <v>3</v>
      </c>
      <c r="M18" s="160" t="s">
        <v>61</v>
      </c>
      <c r="N18" s="160"/>
      <c r="O18" s="160"/>
      <c r="P18" s="160"/>
      <c r="Q18" s="160"/>
      <c r="R18" s="160"/>
    </row>
    <row r="19" spans="2:18" x14ac:dyDescent="0.25">
      <c r="B19" s="164" t="s">
        <v>53</v>
      </c>
      <c r="C19" s="3">
        <v>2</v>
      </c>
      <c r="D19" s="3" t="str">
        <f>HLOOKUP($E$4,$H$18:$J$20,C19)</f>
        <v>oprava omítek stěn do 50 %, stropů do 30 %</v>
      </c>
      <c r="E19" s="3" t="str">
        <f>IF(D19=0," ",D19)</f>
        <v>oprava omítek stěn do 50 %, stropů do 30 %</v>
      </c>
      <c r="F19" s="3">
        <f>IF(D19=0,"",1)</f>
        <v>1</v>
      </c>
      <c r="H19" s="67" t="s">
        <v>55</v>
      </c>
      <c r="I19" s="66" t="s">
        <v>56</v>
      </c>
      <c r="J19" s="67" t="s">
        <v>55</v>
      </c>
      <c r="M19" s="161" t="s">
        <v>0</v>
      </c>
      <c r="N19" s="162"/>
      <c r="O19" s="163"/>
      <c r="P19" s="161" t="s">
        <v>1</v>
      </c>
      <c r="Q19" s="162"/>
      <c r="R19" s="163"/>
    </row>
    <row r="20" spans="2:18" x14ac:dyDescent="0.25">
      <c r="B20" s="164"/>
      <c r="C20" s="3">
        <v>3</v>
      </c>
      <c r="D20" s="3">
        <f>HLOOKUP($E$4,$H$18:$J$20,C20)</f>
        <v>0</v>
      </c>
      <c r="E20" s="3" t="str">
        <f>IF(D20=0," ",D20)</f>
        <v xml:space="preserve"> </v>
      </c>
      <c r="F20" s="3" t="str">
        <f>IF(D20=0,"",1)</f>
        <v/>
      </c>
      <c r="H20" s="66"/>
      <c r="I20" s="66"/>
      <c r="J20" s="66" t="s">
        <v>56</v>
      </c>
      <c r="L20" s="1"/>
      <c r="M20" s="165" t="s">
        <v>21</v>
      </c>
      <c r="N20" s="166"/>
      <c r="O20" s="167"/>
      <c r="P20" s="165" t="s">
        <v>21</v>
      </c>
      <c r="Q20" s="166"/>
      <c r="R20" s="167"/>
    </row>
    <row r="21" spans="2:18" x14ac:dyDescent="0.25">
      <c r="D21" s="1"/>
      <c r="E21" s="1"/>
      <c r="F21" s="1"/>
      <c r="L21" s="3" t="s">
        <v>9</v>
      </c>
      <c r="M21" s="161">
        <v>671</v>
      </c>
      <c r="N21" s="162"/>
      <c r="O21" s="163"/>
      <c r="P21" s="161">
        <v>1055</v>
      </c>
      <c r="Q21" s="162"/>
      <c r="R21" s="163"/>
    </row>
    <row r="22" spans="2:18" x14ac:dyDescent="0.25">
      <c r="D22" s="1"/>
      <c r="E22" s="1"/>
      <c r="H22" s="2">
        <v>1</v>
      </c>
      <c r="I22" s="2">
        <v>2</v>
      </c>
      <c r="J22" s="2">
        <v>3</v>
      </c>
      <c r="L22" s="3" t="s">
        <v>10</v>
      </c>
      <c r="M22" s="161">
        <v>1550</v>
      </c>
      <c r="N22" s="162"/>
      <c r="O22" s="163"/>
      <c r="P22" s="161">
        <v>1508</v>
      </c>
      <c r="Q22" s="162"/>
      <c r="R22" s="163"/>
    </row>
    <row r="23" spans="2:18" x14ac:dyDescent="0.25">
      <c r="B23" s="164" t="s">
        <v>54</v>
      </c>
      <c r="C23" s="3">
        <v>2</v>
      </c>
      <c r="D23" s="3" t="str">
        <f>HLOOKUP($E$4,$H$22:$J$24,C23)</f>
        <v>standardní dvojnásobná bílá malba</v>
      </c>
      <c r="E23" s="3" t="str">
        <f>IF(D23=0," ",D23)</f>
        <v>standardní dvojnásobná bílá malba</v>
      </c>
      <c r="F23" s="3">
        <f>IF(D23=0,"",1)</f>
        <v>1</v>
      </c>
      <c r="H23" s="67" t="s">
        <v>57</v>
      </c>
      <c r="I23" s="66" t="s">
        <v>58</v>
      </c>
      <c r="J23" s="67" t="s">
        <v>57</v>
      </c>
      <c r="L23" s="3" t="s">
        <v>11</v>
      </c>
      <c r="M23" s="4">
        <v>672</v>
      </c>
      <c r="N23" s="4">
        <v>514</v>
      </c>
      <c r="O23" s="4">
        <v>600</v>
      </c>
      <c r="P23" s="4">
        <v>1498</v>
      </c>
      <c r="Q23" s="4">
        <v>1408</v>
      </c>
      <c r="R23" s="4">
        <v>1241</v>
      </c>
    </row>
    <row r="24" spans="2:18" x14ac:dyDescent="0.25">
      <c r="B24" s="164"/>
      <c r="C24" s="3">
        <v>3</v>
      </c>
      <c r="D24" s="3">
        <f>HLOOKUP($E$4,$H$22:$J$24,C24)</f>
        <v>0</v>
      </c>
      <c r="E24" s="3" t="str">
        <f>IF(D24=0," ",D24)</f>
        <v xml:space="preserve"> </v>
      </c>
      <c r="F24" s="3" t="str">
        <f>IF(D24=0,"",1)</f>
        <v/>
      </c>
      <c r="H24" s="66"/>
      <c r="I24" s="66"/>
      <c r="J24" s="66" t="s">
        <v>58</v>
      </c>
      <c r="L24" s="3" t="s">
        <v>12</v>
      </c>
      <c r="M24" s="161">
        <v>265</v>
      </c>
      <c r="N24" s="162"/>
      <c r="O24" s="163"/>
      <c r="P24" s="161">
        <v>492</v>
      </c>
      <c r="Q24" s="162"/>
      <c r="R24" s="163"/>
    </row>
    <row r="25" spans="2:18" x14ac:dyDescent="0.25">
      <c r="D25" s="1"/>
      <c r="E25" s="1"/>
      <c r="F25" s="1"/>
      <c r="L25" s="3" t="s">
        <v>53</v>
      </c>
      <c r="M25" s="161">
        <v>1122</v>
      </c>
      <c r="N25" s="162"/>
      <c r="O25" s="163"/>
      <c r="P25" s="161">
        <v>1190</v>
      </c>
      <c r="Q25" s="162"/>
      <c r="R25" s="163"/>
    </row>
    <row r="26" spans="2:18" x14ac:dyDescent="0.25">
      <c r="D26" s="1"/>
      <c r="E26" s="1"/>
      <c r="H26" s="2">
        <v>1</v>
      </c>
      <c r="I26" s="2">
        <v>2</v>
      </c>
      <c r="J26" s="2">
        <v>3</v>
      </c>
      <c r="L26" s="3" t="s">
        <v>54</v>
      </c>
      <c r="M26" s="161">
        <v>316</v>
      </c>
      <c r="N26" s="162"/>
      <c r="O26" s="163"/>
      <c r="P26" s="161">
        <v>430</v>
      </c>
      <c r="Q26" s="162"/>
      <c r="R26" s="163"/>
    </row>
    <row r="27" spans="2:18" x14ac:dyDescent="0.25">
      <c r="B27" s="164" t="s">
        <v>13</v>
      </c>
      <c r="C27" s="3">
        <v>2</v>
      </c>
      <c r="D27" s="3" t="str">
        <f>HLOOKUP($E$4,$H$26:$J$28,C27)</f>
        <v>standardní keramické obklady</v>
      </c>
      <c r="E27" s="3" t="str">
        <f>IF(D27=0," ",D27)</f>
        <v>standardní keramické obklady</v>
      </c>
      <c r="F27" s="3">
        <f>IF(D27=0,"",1)</f>
        <v>1</v>
      </c>
      <c r="H27" s="66" t="s">
        <v>38</v>
      </c>
      <c r="I27" s="66" t="s">
        <v>39</v>
      </c>
      <c r="J27" s="66" t="s">
        <v>38</v>
      </c>
      <c r="L27" s="3" t="s">
        <v>13</v>
      </c>
      <c r="M27" s="161">
        <v>397</v>
      </c>
      <c r="N27" s="162"/>
      <c r="O27" s="163"/>
      <c r="P27" s="161">
        <v>554</v>
      </c>
      <c r="Q27" s="162"/>
      <c r="R27" s="163"/>
    </row>
    <row r="28" spans="2:18" x14ac:dyDescent="0.25">
      <c r="B28" s="164"/>
      <c r="C28" s="3">
        <v>3</v>
      </c>
      <c r="D28" s="3">
        <f>HLOOKUP($E$4,$H$26:$J$28,C28)</f>
        <v>0</v>
      </c>
      <c r="E28" s="3" t="str">
        <f>IF(D28=0," ",D28)</f>
        <v xml:space="preserve"> </v>
      </c>
      <c r="F28" s="3" t="str">
        <f>IF(D28=0,"",1)</f>
        <v/>
      </c>
      <c r="H28" s="66"/>
      <c r="I28" s="66"/>
      <c r="J28" s="66" t="s">
        <v>39</v>
      </c>
      <c r="L28" s="3" t="s">
        <v>59</v>
      </c>
      <c r="M28" s="161">
        <v>300</v>
      </c>
      <c r="N28" s="162"/>
      <c r="O28" s="163"/>
      <c r="P28" s="161">
        <v>775</v>
      </c>
      <c r="Q28" s="162"/>
      <c r="R28" s="163"/>
    </row>
    <row r="29" spans="2:18" x14ac:dyDescent="0.25">
      <c r="D29" s="1"/>
      <c r="E29" s="1"/>
      <c r="F29" s="1"/>
      <c r="L29" s="3" t="s">
        <v>14</v>
      </c>
      <c r="M29" s="161">
        <v>716</v>
      </c>
      <c r="N29" s="162"/>
      <c r="O29" s="163"/>
      <c r="P29" s="161">
        <v>1056</v>
      </c>
      <c r="Q29" s="162"/>
      <c r="R29" s="163"/>
    </row>
    <row r="30" spans="2:18" x14ac:dyDescent="0.25">
      <c r="D30" s="1"/>
      <c r="E30" s="1"/>
      <c r="H30" s="2">
        <v>1</v>
      </c>
      <c r="I30" s="2">
        <v>2</v>
      </c>
      <c r="J30" s="2">
        <v>3</v>
      </c>
      <c r="L30" s="3" t="s">
        <v>15</v>
      </c>
      <c r="M30" s="161">
        <v>977</v>
      </c>
      <c r="N30" s="162"/>
      <c r="O30" s="163"/>
      <c r="P30" s="161">
        <v>977</v>
      </c>
      <c r="Q30" s="162"/>
      <c r="R30" s="163"/>
    </row>
    <row r="31" spans="2:18" x14ac:dyDescent="0.25">
      <c r="B31" s="164" t="s">
        <v>59</v>
      </c>
      <c r="C31" s="3">
        <v>2</v>
      </c>
      <c r="D31" s="3" t="str">
        <f>HLOOKUP($E$4,$H$30:$J$32,C31)</f>
        <v>dveře se standardním povrchem, ocelové zárubně</v>
      </c>
      <c r="E31" s="3" t="str">
        <f>IF(D31=0," ",D31)</f>
        <v>dveře se standardním povrchem, ocelové zárubně</v>
      </c>
      <c r="F31" s="3">
        <f>IF(D31=0,"",1)</f>
        <v>1</v>
      </c>
      <c r="H31" s="66" t="s">
        <v>46</v>
      </c>
      <c r="I31" s="66" t="s">
        <v>60</v>
      </c>
      <c r="J31" s="66" t="s">
        <v>46</v>
      </c>
      <c r="L31" t="s">
        <v>20</v>
      </c>
      <c r="M31" s="72">
        <f>SUM(M21:O22)+SUM(M24:O30)+M23</f>
        <v>6986</v>
      </c>
      <c r="N31" s="72">
        <f>SUM(M21:O22)+SUM(M24:O30)+N23</f>
        <v>6828</v>
      </c>
      <c r="O31" s="72">
        <f>SUM(M21:O22)+SUM(M24:O30)+O23</f>
        <v>6914</v>
      </c>
      <c r="P31" s="72">
        <f>SUM(P21:R22)+SUM(P24:R30)+P23</f>
        <v>9535</v>
      </c>
      <c r="Q31" s="72">
        <f>SUM(P21:R22)+SUM(P24:R30)+Q23</f>
        <v>9445</v>
      </c>
      <c r="R31" s="72">
        <f>SUM(P21:R22)+SUM(P24:R30)+R23</f>
        <v>9278</v>
      </c>
    </row>
    <row r="32" spans="2:18" x14ac:dyDescent="0.25">
      <c r="B32" s="164"/>
      <c r="C32" s="3">
        <v>3</v>
      </c>
      <c r="D32" s="3">
        <f>HLOOKUP($E$4,$H$30:$J$32,C32)</f>
        <v>0</v>
      </c>
      <c r="E32" s="3" t="str">
        <f>IF(D32=0," ",D32)</f>
        <v xml:space="preserve"> </v>
      </c>
      <c r="F32" s="3" t="str">
        <f>IF(D32=0,"",1)</f>
        <v/>
      </c>
      <c r="H32" s="66"/>
      <c r="I32" s="66"/>
      <c r="J32" s="66" t="s">
        <v>60</v>
      </c>
    </row>
    <row r="33" spans="2:10" x14ac:dyDescent="0.25">
      <c r="D33" s="1"/>
      <c r="E33" s="1"/>
      <c r="F33" s="1"/>
    </row>
    <row r="34" spans="2:10" x14ac:dyDescent="0.25">
      <c r="D34" s="1"/>
      <c r="E34" s="1"/>
      <c r="H34" s="2">
        <v>1</v>
      </c>
      <c r="I34" s="2">
        <v>2</v>
      </c>
      <c r="J34" s="2">
        <v>3</v>
      </c>
    </row>
    <row r="35" spans="2:10" x14ac:dyDescent="0.25">
      <c r="B35" s="164" t="s">
        <v>14</v>
      </c>
      <c r="C35" s="3">
        <v>2</v>
      </c>
      <c r="D35" s="3" t="str">
        <f>HLOOKUP($E$4,$H$34:$J$36,C35)</f>
        <v>standardní zařizovací předměty včetně rozvodů</v>
      </c>
      <c r="E35" s="3" t="str">
        <f>IF(D35=0," ",D35)</f>
        <v>standardní zařizovací předměty včetně rozvodů</v>
      </c>
      <c r="F35" s="3">
        <f>IF(D35=0,"",1)</f>
        <v>1</v>
      </c>
      <c r="H35" s="66" t="s">
        <v>34</v>
      </c>
      <c r="I35" s="66" t="s">
        <v>35</v>
      </c>
      <c r="J35" s="66" t="s">
        <v>34</v>
      </c>
    </row>
    <row r="36" spans="2:10" x14ac:dyDescent="0.25">
      <c r="B36" s="164"/>
      <c r="C36" s="3">
        <v>3</v>
      </c>
      <c r="D36" s="3">
        <f>HLOOKUP($E$4,$H$34:$J$36,C36)</f>
        <v>0</v>
      </c>
      <c r="E36" s="3" t="str">
        <f>IF(D36=0," ",D36)</f>
        <v xml:space="preserve"> </v>
      </c>
      <c r="F36" s="3" t="str">
        <f>IF(D36=0,"",1)</f>
        <v/>
      </c>
      <c r="H36" s="66"/>
      <c r="I36" s="66"/>
      <c r="J36" s="66" t="s">
        <v>35</v>
      </c>
    </row>
    <row r="37" spans="2:10" x14ac:dyDescent="0.25">
      <c r="D37" s="1"/>
      <c r="E37" s="1"/>
      <c r="F37" s="1"/>
    </row>
    <row r="38" spans="2:10" x14ac:dyDescent="0.25">
      <c r="D38" s="1"/>
      <c r="E38" s="1"/>
      <c r="H38" s="2">
        <v>1</v>
      </c>
      <c r="I38" s="2">
        <v>2</v>
      </c>
      <c r="J38" s="2">
        <v>3</v>
      </c>
    </row>
    <row r="39" spans="2:10" x14ac:dyDescent="0.25">
      <c r="B39" s="164" t="s">
        <v>15</v>
      </c>
      <c r="C39" s="3">
        <v>2</v>
      </c>
      <c r="D39" s="3" t="str">
        <f>HLOOKUP($E$4,$H$38:$J$39,C39)</f>
        <v>otopná tělesa včetně rozvodů</v>
      </c>
      <c r="E39" s="3" t="str">
        <f>IF(D39=0," ",D39)</f>
        <v>otopná tělesa včetně rozvodů</v>
      </c>
      <c r="F39" s="3">
        <f>IF(D39=0,"",1)</f>
        <v>1</v>
      </c>
      <c r="H39" s="66" t="s">
        <v>44</v>
      </c>
      <c r="I39" s="66" t="s">
        <v>44</v>
      </c>
      <c r="J39" s="66" t="s">
        <v>44</v>
      </c>
    </row>
    <row r="40" spans="2:10" x14ac:dyDescent="0.25">
      <c r="B40" s="164"/>
      <c r="C40" s="3">
        <v>3</v>
      </c>
      <c r="D40" s="3">
        <f>HLOOKUP($E$4,$H$38:$J$40,C40)</f>
        <v>0</v>
      </c>
      <c r="E40" s="3" t="str">
        <f>IF(D40=0," ",D40)</f>
        <v xml:space="preserve"> </v>
      </c>
      <c r="F40" s="3" t="str">
        <f>IF(D40=0,"",1)</f>
        <v/>
      </c>
      <c r="H40" s="66"/>
      <c r="I40" s="66"/>
      <c r="J40" s="66" t="s">
        <v>45</v>
      </c>
    </row>
  </sheetData>
  <mergeCells count="54">
    <mergeCell ref="P13:R13"/>
    <mergeCell ref="P14:R14"/>
    <mergeCell ref="P15:R15"/>
    <mergeCell ref="B23:B24"/>
    <mergeCell ref="P7:R7"/>
    <mergeCell ref="P9:R9"/>
    <mergeCell ref="P10:R10"/>
    <mergeCell ref="P11:R11"/>
    <mergeCell ref="P12:R12"/>
    <mergeCell ref="M19:O19"/>
    <mergeCell ref="P19:R19"/>
    <mergeCell ref="M20:O20"/>
    <mergeCell ref="P20:R20"/>
    <mergeCell ref="M21:O21"/>
    <mergeCell ref="P21:R21"/>
    <mergeCell ref="B39:B40"/>
    <mergeCell ref="B7:B12"/>
    <mergeCell ref="M5:O5"/>
    <mergeCell ref="M4:O4"/>
    <mergeCell ref="P4:R4"/>
    <mergeCell ref="P5:R5"/>
    <mergeCell ref="M6:O6"/>
    <mergeCell ref="M7:O7"/>
    <mergeCell ref="M9:O9"/>
    <mergeCell ref="M10:O10"/>
    <mergeCell ref="M11:O11"/>
    <mergeCell ref="M12:O12"/>
    <mergeCell ref="M13:O13"/>
    <mergeCell ref="M14:O14"/>
    <mergeCell ref="M15:O15"/>
    <mergeCell ref="P6:R6"/>
    <mergeCell ref="M25:O25"/>
    <mergeCell ref="P25:R25"/>
    <mergeCell ref="B35:B36"/>
    <mergeCell ref="B15:B16"/>
    <mergeCell ref="B19:B20"/>
    <mergeCell ref="B27:B28"/>
    <mergeCell ref="B31:B32"/>
    <mergeCell ref="M3:R3"/>
    <mergeCell ref="M18:R18"/>
    <mergeCell ref="M29:O29"/>
    <mergeCell ref="P29:R29"/>
    <mergeCell ref="M30:O30"/>
    <mergeCell ref="P30:R30"/>
    <mergeCell ref="M26:O26"/>
    <mergeCell ref="P26:R26"/>
    <mergeCell ref="M27:O27"/>
    <mergeCell ref="P27:R27"/>
    <mergeCell ref="M28:O28"/>
    <mergeCell ref="P28:R28"/>
    <mergeCell ref="M22:O22"/>
    <mergeCell ref="P22:R22"/>
    <mergeCell ref="M24:O24"/>
    <mergeCell ref="P24:R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Rekonstrukce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Baruž</dc:creator>
  <cp:lastModifiedBy>Baruž</cp:lastModifiedBy>
  <dcterms:created xsi:type="dcterms:W3CDTF">2017-03-30T14:34:01Z</dcterms:created>
  <dcterms:modified xsi:type="dcterms:W3CDTF">2017-05-21T18:15:33Z</dcterms:modified>
</cp:coreProperties>
</file>