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\Documents\Škola\Bakalářská práce\"/>
    </mc:Choice>
  </mc:AlternateContent>
  <bookViews>
    <workbookView xWindow="0" yWindow="0" windowWidth="28800" windowHeight="12045"/>
  </bookViews>
  <sheets>
    <sheet name="NPV" sheetId="7" r:id="rId1"/>
  </sheets>
  <definedNames>
    <definedName name="solver_adj" localSheetId="0" hidden="1">NPV!$C$31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NPV!#REF!</definedName>
    <definedName name="solver_lhs2" localSheetId="0" hidden="1">NPV!$C$31:$L$31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NPV!$B$33</definedName>
    <definedName name="solver_pre" localSheetId="0" hidden="1">0.000001</definedName>
    <definedName name="solver_rel1" localSheetId="0" hidden="1">2</definedName>
    <definedName name="solver_rel2" localSheetId="0" hidden="1">3</definedName>
    <definedName name="solver_rhs1" localSheetId="0" hidden="1">NPV!$B$9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52511"/>
</workbook>
</file>

<file path=xl/calcChain.xml><?xml version="1.0" encoding="utf-8"?>
<calcChain xmlns="http://schemas.openxmlformats.org/spreadsheetml/2006/main">
  <c r="C32" i="7" l="1"/>
  <c r="C33" i="7"/>
  <c r="A21" i="7" l="1"/>
  <c r="C21" i="7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C31" i="7"/>
  <c r="C23" i="7"/>
  <c r="B7" i="7"/>
  <c r="B29" i="7" s="1"/>
  <c r="B32" i="7" s="1"/>
  <c r="B33" i="7" s="1"/>
  <c r="D31" i="7" l="1"/>
  <c r="B23" i="7"/>
  <c r="E31" i="7" l="1"/>
  <c r="B24" i="7"/>
  <c r="B19" i="7"/>
  <c r="C20" i="7" s="1"/>
  <c r="D20" i="7" s="1"/>
  <c r="E20" i="7" s="1"/>
  <c r="F20" i="7" s="1"/>
  <c r="G20" i="7" s="1"/>
  <c r="H20" i="7" s="1"/>
  <c r="I20" i="7" s="1"/>
  <c r="J20" i="7" s="1"/>
  <c r="K20" i="7" s="1"/>
  <c r="L20" i="7" s="1"/>
  <c r="M20" i="7" s="1"/>
  <c r="N20" i="7" s="1"/>
  <c r="O20" i="7" s="1"/>
  <c r="P20" i="7" s="1"/>
  <c r="Q20" i="7" s="1"/>
  <c r="F31" i="7" l="1"/>
  <c r="B25" i="7"/>
  <c r="C24" i="7" s="1"/>
  <c r="G31" i="7" l="1"/>
  <c r="C27" i="7"/>
  <c r="C25" i="7"/>
  <c r="H31" i="7" l="1"/>
  <c r="C26" i="7"/>
  <c r="D24" i="7" s="1"/>
  <c r="D27" i="7"/>
  <c r="D32" i="7" s="1"/>
  <c r="D33" i="7" s="1"/>
  <c r="I31" i="7" l="1"/>
  <c r="E27" i="7"/>
  <c r="E32" i="7" s="1"/>
  <c r="E33" i="7" s="1"/>
  <c r="D25" i="7"/>
  <c r="D26" i="7" s="1"/>
  <c r="E24" i="7" s="1"/>
  <c r="J31" i="7" l="1"/>
  <c r="E25" i="7"/>
  <c r="E26" i="7" s="1"/>
  <c r="F24" i="7" s="1"/>
  <c r="F27" i="7"/>
  <c r="F32" i="7" s="1"/>
  <c r="F33" i="7" s="1"/>
  <c r="K31" i="7" l="1"/>
  <c r="F25" i="7"/>
  <c r="F26" i="7" s="1"/>
  <c r="G24" i="7" s="1"/>
  <c r="G27" i="7"/>
  <c r="G32" i="7" s="1"/>
  <c r="G33" i="7" s="1"/>
  <c r="L31" i="7" l="1"/>
  <c r="G25" i="7"/>
  <c r="G26" i="7" s="1"/>
  <c r="H24" i="7" s="1"/>
  <c r="H27" i="7"/>
  <c r="H32" i="7" s="1"/>
  <c r="H33" i="7" s="1"/>
  <c r="M31" i="7" l="1"/>
  <c r="H25" i="7"/>
  <c r="H26" i="7" s="1"/>
  <c r="I24" i="7" s="1"/>
  <c r="I27" i="7"/>
  <c r="I32" i="7" s="1"/>
  <c r="I33" i="7" s="1"/>
  <c r="N31" i="7" l="1"/>
  <c r="I25" i="7"/>
  <c r="I26" i="7" s="1"/>
  <c r="J24" i="7" s="1"/>
  <c r="J27" i="7"/>
  <c r="J32" i="7" s="1"/>
  <c r="J33" i="7" s="1"/>
  <c r="O31" i="7" l="1"/>
  <c r="K27" i="7"/>
  <c r="K32" i="7" s="1"/>
  <c r="K33" i="7" s="1"/>
  <c r="J25" i="7"/>
  <c r="J26" i="7" s="1"/>
  <c r="K24" i="7" s="1"/>
  <c r="P31" i="7" l="1"/>
  <c r="K25" i="7"/>
  <c r="K26" i="7" s="1"/>
  <c r="L24" i="7" s="1"/>
  <c r="L27" i="7"/>
  <c r="M27" i="7" l="1"/>
  <c r="M32" i="7" s="1"/>
  <c r="M33" i="7" s="1"/>
  <c r="L32" i="7"/>
  <c r="L33" i="7" s="1"/>
  <c r="Q31" i="7"/>
  <c r="L25" i="7"/>
  <c r="L26" i="7" s="1"/>
  <c r="M24" i="7" s="1"/>
  <c r="M25" i="7" s="1"/>
  <c r="M26" i="7" s="1"/>
  <c r="N24" i="7" s="1"/>
  <c r="N25" i="7" s="1"/>
  <c r="N27" i="7"/>
  <c r="N32" i="7" s="1"/>
  <c r="N33" i="7" s="1"/>
  <c r="N26" i="7" l="1"/>
  <c r="O24" i="7" s="1"/>
  <c r="O25" i="7" s="1"/>
  <c r="O27" i="7"/>
  <c r="O32" i="7" s="1"/>
  <c r="O33" i="7" s="1"/>
  <c r="P27" i="7" l="1"/>
  <c r="P32" i="7" s="1"/>
  <c r="P33" i="7" s="1"/>
  <c r="O26" i="7"/>
  <c r="P24" i="7" s="1"/>
  <c r="P25" i="7" s="1"/>
  <c r="P26" i="7" l="1"/>
  <c r="Q24" i="7" s="1"/>
  <c r="Q25" i="7" s="1"/>
  <c r="Q27" i="7"/>
  <c r="Q32" i="7" l="1"/>
  <c r="Q33" i="7" s="1"/>
  <c r="Q26" i="7"/>
  <c r="B35" i="7" l="1"/>
  <c r="B34" i="7"/>
</calcChain>
</file>

<file path=xl/sharedStrings.xml><?xml version="1.0" encoding="utf-8"?>
<sst xmlns="http://schemas.openxmlformats.org/spreadsheetml/2006/main" count="36" uniqueCount="34">
  <si>
    <t>Délka splácení:</t>
  </si>
  <si>
    <t>let</t>
  </si>
  <si>
    <t>Cash Flow:</t>
  </si>
  <si>
    <t>IRR</t>
  </si>
  <si>
    <t>Délka výstavby:</t>
  </si>
  <si>
    <t>čerpání úvěru</t>
  </si>
  <si>
    <t>úroky z úvěru</t>
  </si>
  <si>
    <t>roční úroková míra:</t>
  </si>
  <si>
    <t>celková výše úvěru</t>
  </si>
  <si>
    <t>splátka jistiny</t>
  </si>
  <si>
    <t>Výstavba</t>
  </si>
  <si>
    <t>Provoz</t>
  </si>
  <si>
    <t>Financování:</t>
  </si>
  <si>
    <t>Náklady výstavby</t>
  </si>
  <si>
    <t>Investiční náklady (včetně DPH):</t>
  </si>
  <si>
    <t>(v tis. Kč)</t>
  </si>
  <si>
    <t>rok</t>
  </si>
  <si>
    <t>Úvěrová služba</t>
  </si>
  <si>
    <t>Diskontované platby</t>
  </si>
  <si>
    <t>inflace</t>
  </si>
  <si>
    <t>Vlastní kapitál</t>
  </si>
  <si>
    <t>Bankovní financování</t>
  </si>
  <si>
    <t>Reinvestyční náklady</t>
  </si>
  <si>
    <t>Podíl úvěru:</t>
  </si>
  <si>
    <t>Podíl vlastních prostředků:</t>
  </si>
  <si>
    <t>čerpání vlastního kapitálu</t>
  </si>
  <si>
    <t>výnosy</t>
  </si>
  <si>
    <t>Výnosy (první rok)</t>
  </si>
  <si>
    <t>Roční CF</t>
  </si>
  <si>
    <t>Navýšení provozních nákladů vlivem investice</t>
  </si>
  <si>
    <t>Diskotní sazba</t>
  </si>
  <si>
    <t>NPV</t>
  </si>
  <si>
    <t>výnosy (splátka vlastního kapitálu)</t>
  </si>
  <si>
    <t>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</si>
</sst>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_ ;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3" fontId="0" fillId="3" borderId="1" xfId="0" applyNumberFormat="1" applyFill="1" applyBorder="1"/>
    <xf numFmtId="3" fontId="0" fillId="2" borderId="1" xfId="0" applyNumberFormat="1" applyFill="1" applyBorder="1"/>
    <xf numFmtId="0" fontId="3" fillId="3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indent="1"/>
    </xf>
    <xf numFmtId="0" fontId="3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indent="1"/>
    </xf>
    <xf numFmtId="3" fontId="0" fillId="3" borderId="2" xfId="0" applyNumberFormat="1" applyFill="1" applyBorder="1"/>
    <xf numFmtId="3" fontId="0" fillId="2" borderId="2" xfId="0" applyNumberFormat="1" applyFill="1" applyBorder="1"/>
    <xf numFmtId="0" fontId="3" fillId="3" borderId="3" xfId="0" applyFont="1" applyFill="1" applyBorder="1"/>
    <xf numFmtId="3" fontId="0" fillId="3" borderId="3" xfId="0" applyNumberFormat="1" applyFill="1" applyBorder="1"/>
    <xf numFmtId="3" fontId="0" fillId="2" borderId="3" xfId="0" applyNumberFormat="1" applyFill="1" applyBorder="1"/>
    <xf numFmtId="0" fontId="3" fillId="3" borderId="4" xfId="0" applyFont="1" applyFill="1" applyBorder="1"/>
    <xf numFmtId="3" fontId="0" fillId="3" borderId="5" xfId="0" applyNumberFormat="1" applyFill="1" applyBorder="1"/>
    <xf numFmtId="3" fontId="0" fillId="2" borderId="5" xfId="0" applyNumberFormat="1" applyFill="1" applyBorder="1"/>
    <xf numFmtId="3" fontId="0" fillId="2" borderId="6" xfId="0" applyNumberFormat="1" applyFill="1" applyBorder="1"/>
    <xf numFmtId="0" fontId="3" fillId="3" borderId="1" xfId="0" applyFont="1" applyFill="1" applyBorder="1" applyAlignment="1">
      <alignment wrapText="1"/>
    </xf>
    <xf numFmtId="0" fontId="3" fillId="6" borderId="1" xfId="0" applyFont="1" applyFill="1" applyBorder="1"/>
    <xf numFmtId="3" fontId="5" fillId="6" borderId="1" xfId="0" applyNumberFormat="1" applyFont="1" applyFill="1" applyBorder="1"/>
    <xf numFmtId="3" fontId="0" fillId="6" borderId="1" xfId="0" applyNumberFormat="1" applyFill="1" applyBorder="1"/>
    <xf numFmtId="10" fontId="7" fillId="6" borderId="1" xfId="1" applyNumberFormat="1" applyFont="1" applyFill="1" applyBorder="1"/>
    <xf numFmtId="0" fontId="2" fillId="0" borderId="1" xfId="0" applyFont="1" applyBorder="1"/>
    <xf numFmtId="3" fontId="6" fillId="0" borderId="1" xfId="0" applyNumberFormat="1" applyFon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9" fontId="0" fillId="0" borderId="1" xfId="1" applyFont="1" applyBorder="1"/>
    <xf numFmtId="9" fontId="0" fillId="0" borderId="1" xfId="0" applyNumberFormat="1" applyBorder="1"/>
    <xf numFmtId="10" fontId="0" fillId="0" borderId="1" xfId="1" applyNumberFormat="1" applyFont="1" applyBorder="1"/>
    <xf numFmtId="10" fontId="0" fillId="0" borderId="1" xfId="0" applyNumberFormat="1" applyBorder="1"/>
    <xf numFmtId="164" fontId="5" fillId="0" borderId="1" xfId="2" applyNumberFormat="1" applyFont="1" applyBorder="1"/>
    <xf numFmtId="0" fontId="3" fillId="2" borderId="1" xfId="0" applyFont="1" applyFill="1" applyBorder="1" applyAlignment="1">
      <alignment horizontal="center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topLeftCell="A11" zoomScaleNormal="100" workbookViewId="0">
      <selection activeCell="C44" sqref="C44"/>
    </sheetView>
  </sheetViews>
  <sheetFormatPr defaultRowHeight="15" outlineLevelRow="1" outlineLevelCol="1" x14ac:dyDescent="0.25"/>
  <cols>
    <col min="1" max="1" width="35.140625" bestFit="1" customWidth="1"/>
    <col min="2" max="2" width="11.85546875" customWidth="1"/>
    <col min="3" max="4" width="10.85546875" customWidth="1"/>
    <col min="5" max="5" width="10.85546875" bestFit="1" customWidth="1"/>
    <col min="6" max="12" width="9.28515625" customWidth="1" outlineLevel="1"/>
    <col min="13" max="14" width="8.85546875" customWidth="1" outlineLevel="1"/>
  </cols>
  <sheetData>
    <row r="1" spans="1:3" x14ac:dyDescent="0.25">
      <c r="A1" s="1"/>
    </row>
    <row r="2" spans="1:3" x14ac:dyDescent="0.25">
      <c r="A2" s="26" t="s">
        <v>14</v>
      </c>
      <c r="B2" s="27">
        <v>30705</v>
      </c>
      <c r="C2" s="28" t="s">
        <v>33</v>
      </c>
    </row>
    <row r="3" spans="1:3" ht="30" x14ac:dyDescent="0.25">
      <c r="A3" s="29" t="s">
        <v>29</v>
      </c>
      <c r="B3" s="30">
        <v>1800</v>
      </c>
      <c r="C3" s="28" t="s">
        <v>33</v>
      </c>
    </row>
    <row r="4" spans="1:3" x14ac:dyDescent="0.25">
      <c r="A4" s="26" t="s">
        <v>0</v>
      </c>
      <c r="B4" s="28">
        <v>15</v>
      </c>
      <c r="C4" s="28" t="s">
        <v>1</v>
      </c>
    </row>
    <row r="5" spans="1:3" x14ac:dyDescent="0.25">
      <c r="A5" s="26" t="s">
        <v>12</v>
      </c>
      <c r="B5" s="28"/>
      <c r="C5" s="28"/>
    </row>
    <row r="6" spans="1:3" x14ac:dyDescent="0.25">
      <c r="A6" s="28" t="s">
        <v>23</v>
      </c>
      <c r="B6" s="31">
        <v>0.7</v>
      </c>
      <c r="C6" s="28"/>
    </row>
    <row r="7" spans="1:3" x14ac:dyDescent="0.25">
      <c r="A7" s="28" t="s">
        <v>24</v>
      </c>
      <c r="B7" s="32">
        <f>1-B6</f>
        <v>0.30000000000000004</v>
      </c>
      <c r="C7" s="28"/>
    </row>
    <row r="8" spans="1:3" x14ac:dyDescent="0.25">
      <c r="A8" s="28" t="s">
        <v>7</v>
      </c>
      <c r="B8" s="32">
        <v>0.03</v>
      </c>
      <c r="C8" s="28"/>
    </row>
    <row r="9" spans="1:3" x14ac:dyDescent="0.25">
      <c r="A9" s="28" t="s">
        <v>30</v>
      </c>
      <c r="B9" s="33">
        <v>5.0000000000000001E-3</v>
      </c>
      <c r="C9" s="28"/>
    </row>
    <row r="10" spans="1:3" x14ac:dyDescent="0.25">
      <c r="A10" s="28" t="s">
        <v>19</v>
      </c>
      <c r="B10" s="34">
        <v>0.02</v>
      </c>
      <c r="C10" s="28"/>
    </row>
    <row r="11" spans="1:3" x14ac:dyDescent="0.25">
      <c r="A11" s="26" t="s">
        <v>27</v>
      </c>
      <c r="B11" s="35">
        <v>5580</v>
      </c>
      <c r="C11" s="28" t="s">
        <v>33</v>
      </c>
    </row>
    <row r="12" spans="1:3" x14ac:dyDescent="0.25">
      <c r="A12" s="26" t="s">
        <v>4</v>
      </c>
      <c r="B12" s="28">
        <v>1</v>
      </c>
      <c r="C12" s="28" t="s">
        <v>16</v>
      </c>
    </row>
    <row r="13" spans="1:3" x14ac:dyDescent="0.25">
      <c r="A13" s="1"/>
    </row>
    <row r="15" spans="1:3" x14ac:dyDescent="0.25">
      <c r="A15" s="1" t="s">
        <v>2</v>
      </c>
    </row>
    <row r="17" spans="1:17" ht="15.75" x14ac:dyDescent="0.25">
      <c r="A17" t="s">
        <v>15</v>
      </c>
      <c r="B17" s="8" t="s">
        <v>10</v>
      </c>
      <c r="C17" s="36" t="s">
        <v>11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2" customFormat="1" x14ac:dyDescent="0.25">
      <c r="B18" s="6">
        <v>2013</v>
      </c>
      <c r="C18" s="7">
        <v>2014</v>
      </c>
      <c r="D18" s="7">
        <v>2015</v>
      </c>
      <c r="E18" s="7">
        <v>2016</v>
      </c>
      <c r="F18" s="7">
        <v>2017</v>
      </c>
      <c r="G18" s="7">
        <v>2018</v>
      </c>
      <c r="H18" s="7">
        <v>2019</v>
      </c>
      <c r="I18" s="7">
        <v>2020</v>
      </c>
      <c r="J18" s="7">
        <v>2021</v>
      </c>
      <c r="K18" s="7">
        <v>2022</v>
      </c>
      <c r="L18" s="7">
        <v>2023</v>
      </c>
      <c r="M18" s="7">
        <v>2024</v>
      </c>
      <c r="N18" s="7">
        <v>2025</v>
      </c>
      <c r="O18" s="7">
        <v>2026</v>
      </c>
      <c r="P18" s="7">
        <v>2027</v>
      </c>
      <c r="Q18" s="7">
        <v>2028</v>
      </c>
    </row>
    <row r="19" spans="1:17" ht="15.75" x14ac:dyDescent="0.25">
      <c r="A19" s="5" t="s">
        <v>13</v>
      </c>
      <c r="B19" s="3">
        <f>B23+B29</f>
        <v>30705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.75" x14ac:dyDescent="0.25">
      <c r="A20" s="5" t="s">
        <v>22</v>
      </c>
      <c r="B20" s="3"/>
      <c r="C20" s="4">
        <f>$B$19*0.01</f>
        <v>307.05</v>
      </c>
      <c r="D20" s="4">
        <f>C20*(1+$B$10)</f>
        <v>313.19100000000003</v>
      </c>
      <c r="E20" s="4">
        <f t="shared" ref="E20:Q20" si="0">D20*(1+$B$10)</f>
        <v>319.45482000000004</v>
      </c>
      <c r="F20" s="4">
        <f t="shared" si="0"/>
        <v>325.84391640000007</v>
      </c>
      <c r="G20" s="4">
        <f t="shared" si="0"/>
        <v>332.36079472800009</v>
      </c>
      <c r="H20" s="4">
        <f t="shared" si="0"/>
        <v>339.00801062256011</v>
      </c>
      <c r="I20" s="4">
        <f t="shared" si="0"/>
        <v>345.78817083501133</v>
      </c>
      <c r="J20" s="4">
        <f t="shared" si="0"/>
        <v>352.70393425171159</v>
      </c>
      <c r="K20" s="4">
        <f t="shared" si="0"/>
        <v>359.75801293674584</v>
      </c>
      <c r="L20" s="4">
        <f t="shared" si="0"/>
        <v>366.95317319548076</v>
      </c>
      <c r="M20" s="4">
        <f t="shared" si="0"/>
        <v>374.29223665939037</v>
      </c>
      <c r="N20" s="4">
        <f t="shared" si="0"/>
        <v>381.7780813925782</v>
      </c>
      <c r="O20" s="4">
        <f t="shared" si="0"/>
        <v>389.41364302042979</v>
      </c>
      <c r="P20" s="4">
        <f t="shared" si="0"/>
        <v>397.20191588083838</v>
      </c>
      <c r="Q20" s="4">
        <f t="shared" si="0"/>
        <v>405.14595419845517</v>
      </c>
    </row>
    <row r="21" spans="1:17" ht="31.5" x14ac:dyDescent="0.25">
      <c r="A21" s="21" t="str">
        <f>A3</f>
        <v>Navýšení provozních nákladů vlivem investice</v>
      </c>
      <c r="B21" s="3"/>
      <c r="C21" s="4">
        <f>B3</f>
        <v>1800</v>
      </c>
      <c r="D21" s="4">
        <f>C21*(1+$B$10)</f>
        <v>1836</v>
      </c>
      <c r="E21" s="4">
        <f t="shared" ref="E21:Q21" si="1">D21*(1+$B$10)</f>
        <v>1872.72</v>
      </c>
      <c r="F21" s="4">
        <f t="shared" si="1"/>
        <v>1910.1744000000001</v>
      </c>
      <c r="G21" s="4">
        <f t="shared" si="1"/>
        <v>1948.3778880000002</v>
      </c>
      <c r="H21" s="4">
        <f t="shared" si="1"/>
        <v>1987.3454457600003</v>
      </c>
      <c r="I21" s="4">
        <f t="shared" si="1"/>
        <v>2027.0923546752003</v>
      </c>
      <c r="J21" s="4">
        <f t="shared" si="1"/>
        <v>2067.6342017687043</v>
      </c>
      <c r="K21" s="4">
        <f t="shared" si="1"/>
        <v>2108.9868858040786</v>
      </c>
      <c r="L21" s="4">
        <f t="shared" si="1"/>
        <v>2151.1666235201601</v>
      </c>
      <c r="M21" s="4">
        <f t="shared" si="1"/>
        <v>2194.1899559905632</v>
      </c>
      <c r="N21" s="4">
        <f t="shared" si="1"/>
        <v>2238.0737551103743</v>
      </c>
      <c r="O21" s="4">
        <f t="shared" si="1"/>
        <v>2282.8352302125818</v>
      </c>
      <c r="P21" s="4">
        <f t="shared" si="1"/>
        <v>2328.4919348168337</v>
      </c>
      <c r="Q21" s="4">
        <f t="shared" si="1"/>
        <v>2375.0617735131705</v>
      </c>
    </row>
    <row r="22" spans="1:17" ht="15.75" x14ac:dyDescent="0.25">
      <c r="A22" s="5" t="s">
        <v>21</v>
      </c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.75" x14ac:dyDescent="0.25">
      <c r="A23" s="9" t="s">
        <v>5</v>
      </c>
      <c r="B23" s="3">
        <f>(B2/B12)-B29</f>
        <v>21493.5</v>
      </c>
      <c r="C23" s="4">
        <f>B31</f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75" x14ac:dyDescent="0.25">
      <c r="A24" s="9" t="s">
        <v>8</v>
      </c>
      <c r="B24" s="3">
        <f>B23</f>
        <v>21493.5</v>
      </c>
      <c r="C24" s="4">
        <f>B24+B25-B27</f>
        <v>22138.305</v>
      </c>
      <c r="D24" s="4">
        <f t="shared" ref="D24:L24" si="2">C24+D23-C26</f>
        <v>20948.004042918827</v>
      </c>
      <c r="E24" s="4">
        <f t="shared" si="2"/>
        <v>19721.994057125219</v>
      </c>
      <c r="F24" s="4">
        <f t="shared" si="2"/>
        <v>18459.203771757802</v>
      </c>
      <c r="G24" s="4">
        <f t="shared" si="2"/>
        <v>17158.529777829364</v>
      </c>
      <c r="H24" s="4">
        <f t="shared" si="2"/>
        <v>15818.835564083072</v>
      </c>
      <c r="I24" s="4">
        <f t="shared" si="2"/>
        <v>14438.950523924392</v>
      </c>
      <c r="J24" s="4">
        <f t="shared" si="2"/>
        <v>13017.66893256095</v>
      </c>
      <c r="K24" s="4">
        <f t="shared" si="2"/>
        <v>11553.748893456604</v>
      </c>
      <c r="L24" s="4">
        <f t="shared" si="2"/>
        <v>10045.911253179129</v>
      </c>
      <c r="M24" s="4">
        <f t="shared" ref="M24:Q24" si="3">L24+M23-L26</f>
        <v>8492.8384836933292</v>
      </c>
      <c r="N24" s="4">
        <f t="shared" si="3"/>
        <v>6893.1735311229559</v>
      </c>
      <c r="O24" s="4">
        <f t="shared" si="3"/>
        <v>5245.5186299754714</v>
      </c>
      <c r="P24" s="4">
        <f t="shared" si="3"/>
        <v>3548.4340817935622</v>
      </c>
      <c r="Q24" s="4">
        <f t="shared" si="3"/>
        <v>1800.4369971661956</v>
      </c>
    </row>
    <row r="25" spans="1:17" ht="15.75" x14ac:dyDescent="0.25">
      <c r="A25" s="9" t="s">
        <v>6</v>
      </c>
      <c r="B25" s="3">
        <f>B24*$B$8</f>
        <v>644.80499999999995</v>
      </c>
      <c r="C25" s="4">
        <f>C24*$B$8</f>
        <v>664.14914999999996</v>
      </c>
      <c r="D25" s="4">
        <f t="shared" ref="D25:L25" si="4">D24*$B$8</f>
        <v>628.44012128756481</v>
      </c>
      <c r="E25" s="4">
        <f t="shared" si="4"/>
        <v>591.65982171375651</v>
      </c>
      <c r="F25" s="4">
        <f t="shared" si="4"/>
        <v>553.77611315273407</v>
      </c>
      <c r="G25" s="4">
        <f t="shared" si="4"/>
        <v>514.75589333488097</v>
      </c>
      <c r="H25" s="4">
        <f t="shared" si="4"/>
        <v>474.56506692249218</v>
      </c>
      <c r="I25" s="4">
        <f t="shared" si="4"/>
        <v>433.16851571773174</v>
      </c>
      <c r="J25" s="4">
        <f t="shared" si="4"/>
        <v>390.53006797682849</v>
      </c>
      <c r="K25" s="4">
        <f t="shared" si="4"/>
        <v>346.61246680369811</v>
      </c>
      <c r="L25" s="4">
        <f t="shared" si="4"/>
        <v>301.37733759537383</v>
      </c>
      <c r="M25" s="4">
        <f t="shared" ref="M25:Q25" si="5">M24*$B$8</f>
        <v>254.78515451079986</v>
      </c>
      <c r="N25" s="4">
        <f t="shared" si="5"/>
        <v>206.79520593368866</v>
      </c>
      <c r="O25" s="4">
        <f t="shared" si="5"/>
        <v>157.36555889926413</v>
      </c>
      <c r="P25" s="4">
        <f t="shared" si="5"/>
        <v>106.45302245380687</v>
      </c>
      <c r="Q25" s="4">
        <f t="shared" si="5"/>
        <v>54.013109914985868</v>
      </c>
    </row>
    <row r="26" spans="1:17" ht="15.75" x14ac:dyDescent="0.25">
      <c r="A26" s="9" t="s">
        <v>9</v>
      </c>
      <c r="B26" s="3"/>
      <c r="C26" s="4">
        <f>C27-C25</f>
        <v>1190.3009570811735</v>
      </c>
      <c r="D26" s="4">
        <f t="shared" ref="D26:L26" si="6">D27-D25</f>
        <v>1226.0099857936086</v>
      </c>
      <c r="E26" s="4">
        <f t="shared" si="6"/>
        <v>1262.7902853674168</v>
      </c>
      <c r="F26" s="4">
        <f t="shared" si="6"/>
        <v>1300.6739939284394</v>
      </c>
      <c r="G26" s="4">
        <f t="shared" si="6"/>
        <v>1339.6942137462925</v>
      </c>
      <c r="H26" s="4">
        <f t="shared" si="6"/>
        <v>1379.8850401586812</v>
      </c>
      <c r="I26" s="4">
        <f t="shared" si="6"/>
        <v>1421.2815913634417</v>
      </c>
      <c r="J26" s="4">
        <f t="shared" si="6"/>
        <v>1463.9200391043451</v>
      </c>
      <c r="K26" s="4">
        <f t="shared" si="6"/>
        <v>1507.8376402774752</v>
      </c>
      <c r="L26" s="4">
        <f t="shared" si="6"/>
        <v>1553.0727694857997</v>
      </c>
      <c r="M26" s="4">
        <f t="shared" ref="M26:Q26" si="7">M27-M25</f>
        <v>1599.6649525703735</v>
      </c>
      <c r="N26" s="4">
        <f t="shared" si="7"/>
        <v>1647.6549011474847</v>
      </c>
      <c r="O26" s="4">
        <f t="shared" si="7"/>
        <v>1697.0845481819092</v>
      </c>
      <c r="P26" s="4">
        <f t="shared" si="7"/>
        <v>1747.9970846273666</v>
      </c>
      <c r="Q26" s="4">
        <f t="shared" si="7"/>
        <v>1800.4369971661877</v>
      </c>
    </row>
    <row r="27" spans="1:17" ht="15.75" x14ac:dyDescent="0.25">
      <c r="A27" s="9" t="s">
        <v>17</v>
      </c>
      <c r="B27" s="3"/>
      <c r="C27" s="4">
        <f>-PMT(B8,B4,C24)</f>
        <v>1854.4501070811734</v>
      </c>
      <c r="D27" s="4">
        <f>C27</f>
        <v>1854.4501070811734</v>
      </c>
      <c r="E27" s="4">
        <f t="shared" ref="E27:L27" si="8">D27</f>
        <v>1854.4501070811734</v>
      </c>
      <c r="F27" s="4">
        <f t="shared" si="8"/>
        <v>1854.4501070811734</v>
      </c>
      <c r="G27" s="4">
        <f t="shared" si="8"/>
        <v>1854.4501070811734</v>
      </c>
      <c r="H27" s="4">
        <f t="shared" si="8"/>
        <v>1854.4501070811734</v>
      </c>
      <c r="I27" s="4">
        <f t="shared" si="8"/>
        <v>1854.4501070811734</v>
      </c>
      <c r="J27" s="4">
        <f t="shared" si="8"/>
        <v>1854.4501070811734</v>
      </c>
      <c r="K27" s="4">
        <f t="shared" si="8"/>
        <v>1854.4501070811734</v>
      </c>
      <c r="L27" s="4">
        <f t="shared" si="8"/>
        <v>1854.4501070811734</v>
      </c>
      <c r="M27" s="4">
        <f t="shared" ref="M27" si="9">L27</f>
        <v>1854.4501070811734</v>
      </c>
      <c r="N27" s="4">
        <f t="shared" ref="N27" si="10">M27</f>
        <v>1854.4501070811734</v>
      </c>
      <c r="O27" s="4">
        <f t="shared" ref="O27" si="11">N27</f>
        <v>1854.4501070811734</v>
      </c>
      <c r="P27" s="4">
        <f t="shared" ref="P27" si="12">O27</f>
        <v>1854.4501070811734</v>
      </c>
      <c r="Q27" s="4">
        <f t="shared" ref="Q27" si="13">P27</f>
        <v>1854.4501070811734</v>
      </c>
    </row>
    <row r="28" spans="1:17" ht="15.75" x14ac:dyDescent="0.25">
      <c r="A28" s="10" t="s">
        <v>20</v>
      </c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.75" x14ac:dyDescent="0.25">
      <c r="A29" s="9" t="s">
        <v>25</v>
      </c>
      <c r="B29" s="3">
        <f>B2*B7</f>
        <v>9211.5000000000018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.75" x14ac:dyDescent="0.25">
      <c r="A30" s="10" t="s">
        <v>26</v>
      </c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6.5" thickBot="1" x14ac:dyDescent="0.3">
      <c r="A31" s="11" t="s">
        <v>32</v>
      </c>
      <c r="B31" s="12"/>
      <c r="C31" s="13">
        <f>B11</f>
        <v>5580</v>
      </c>
      <c r="D31" s="13">
        <f>C31*(1+$B$10)</f>
        <v>5691.6</v>
      </c>
      <c r="E31" s="13">
        <f t="shared" ref="E31:Q31" si="14">D31*(1+$B$10)</f>
        <v>5805.4320000000007</v>
      </c>
      <c r="F31" s="13">
        <f t="shared" si="14"/>
        <v>5921.5406400000011</v>
      </c>
      <c r="G31" s="13">
        <f t="shared" si="14"/>
        <v>6039.9714528000013</v>
      </c>
      <c r="H31" s="13">
        <f t="shared" si="14"/>
        <v>6160.7708818560013</v>
      </c>
      <c r="I31" s="13">
        <f t="shared" si="14"/>
        <v>6283.9862994931218</v>
      </c>
      <c r="J31" s="13">
        <f t="shared" si="14"/>
        <v>6409.666025482984</v>
      </c>
      <c r="K31" s="13">
        <f t="shared" si="14"/>
        <v>6537.8593459926442</v>
      </c>
      <c r="L31" s="13">
        <f t="shared" si="14"/>
        <v>6668.616532912497</v>
      </c>
      <c r="M31" s="13">
        <f t="shared" si="14"/>
        <v>6801.9888635707466</v>
      </c>
      <c r="N31" s="13">
        <f t="shared" si="14"/>
        <v>6938.0286408421616</v>
      </c>
      <c r="O31" s="13">
        <f t="shared" si="14"/>
        <v>7076.7892136590053</v>
      </c>
      <c r="P31" s="13">
        <f t="shared" si="14"/>
        <v>7218.3249979321854</v>
      </c>
      <c r="Q31" s="13">
        <f t="shared" si="14"/>
        <v>7362.6914978908289</v>
      </c>
    </row>
    <row r="32" spans="1:17" ht="17.25" outlineLevel="1" thickTop="1" thickBot="1" x14ac:dyDescent="0.3">
      <c r="A32" s="17" t="s">
        <v>28</v>
      </c>
      <c r="B32" s="18">
        <f>B31-B29-B27-B20-B21</f>
        <v>-9211.5000000000018</v>
      </c>
      <c r="C32" s="19">
        <f>C31-C29-C27-C20-C21</f>
        <v>1618.4998929188264</v>
      </c>
      <c r="D32" s="19">
        <f t="shared" ref="D32:Q32" si="15">D31-D29-D27-D20-D21</f>
        <v>1687.9588929188267</v>
      </c>
      <c r="E32" s="19">
        <f t="shared" si="15"/>
        <v>1758.8070729188273</v>
      </c>
      <c r="F32" s="19">
        <f t="shared" si="15"/>
        <v>1831.0722165188274</v>
      </c>
      <c r="G32" s="19">
        <f t="shared" si="15"/>
        <v>1904.782662990827</v>
      </c>
      <c r="H32" s="19">
        <f t="shared" si="15"/>
        <v>1979.9673183922671</v>
      </c>
      <c r="I32" s="19">
        <f t="shared" si="15"/>
        <v>2056.6556669017364</v>
      </c>
      <c r="J32" s="19">
        <f t="shared" si="15"/>
        <v>2134.8777823813948</v>
      </c>
      <c r="K32" s="19">
        <f t="shared" si="15"/>
        <v>2214.6643401706456</v>
      </c>
      <c r="L32" s="19">
        <f t="shared" si="15"/>
        <v>2296.0466291156818</v>
      </c>
      <c r="M32" s="19">
        <f t="shared" si="15"/>
        <v>2379.0565638396201</v>
      </c>
      <c r="N32" s="19">
        <f t="shared" si="15"/>
        <v>2463.726697258036</v>
      </c>
      <c r="O32" s="19">
        <f t="shared" si="15"/>
        <v>2550.0902333448207</v>
      </c>
      <c r="P32" s="19">
        <f t="shared" si="15"/>
        <v>2638.1810401533398</v>
      </c>
      <c r="Q32" s="20">
        <f t="shared" si="15"/>
        <v>2728.0336630980296</v>
      </c>
    </row>
    <row r="33" spans="1:17" ht="16.5" thickTop="1" x14ac:dyDescent="0.25">
      <c r="A33" s="14" t="s">
        <v>18</v>
      </c>
      <c r="B33" s="15">
        <f>B32</f>
        <v>-9211.5000000000018</v>
      </c>
      <c r="C33" s="16">
        <f t="shared" ref="C33:Q33" si="16">C32/POWER(1+$B$9,C18-$B$18)</f>
        <v>1610.4476546455985</v>
      </c>
      <c r="D33" s="16">
        <f t="shared" si="16"/>
        <v>1671.2050621705671</v>
      </c>
      <c r="E33" s="16">
        <f t="shared" si="16"/>
        <v>1732.6866057513014</v>
      </c>
      <c r="F33" s="16">
        <f t="shared" si="16"/>
        <v>1794.9040022986937</v>
      </c>
      <c r="G33" s="16">
        <f t="shared" si="16"/>
        <v>1857.8691390809636</v>
      </c>
      <c r="H33" s="16">
        <f t="shared" si="16"/>
        <v>1921.5940762888017</v>
      </c>
      <c r="I33" s="16">
        <f t="shared" si="16"/>
        <v>1986.0910496386857</v>
      </c>
      <c r="J33" s="16">
        <f t="shared" si="16"/>
        <v>2051.3724730149434</v>
      </c>
      <c r="K33" s="16">
        <f t="shared" si="16"/>
        <v>2117.4509411511362</v>
      </c>
      <c r="L33" s="16">
        <f t="shared" si="16"/>
        <v>2184.3392323513572</v>
      </c>
      <c r="M33" s="16">
        <f t="shared" si="16"/>
        <v>2252.0503112520314</v>
      </c>
      <c r="N33" s="16">
        <f t="shared" si="16"/>
        <v>2320.5973316248251</v>
      </c>
      <c r="O33" s="16">
        <f t="shared" si="16"/>
        <v>2389.9936392212917</v>
      </c>
      <c r="P33" s="16">
        <f t="shared" si="16"/>
        <v>2460.2527746598566</v>
      </c>
      <c r="Q33" s="16">
        <f t="shared" si="16"/>
        <v>2531.3884763557908</v>
      </c>
    </row>
    <row r="34" spans="1:17" ht="15.75" x14ac:dyDescent="0.25">
      <c r="A34" s="22" t="s">
        <v>31</v>
      </c>
      <c r="B34" s="23">
        <f>SUM(B33:Q33)</f>
        <v>21670.742769505843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ht="15.75" x14ac:dyDescent="0.25">
      <c r="A35" s="22" t="s">
        <v>3</v>
      </c>
      <c r="B35" s="25">
        <f>IRR(B33:Q33)</f>
        <v>0.1875535361910039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</row>
  </sheetData>
  <sheetProtection algorithmName="SHA-512" hashValue="mIRihPwr0JUNnm64fSSUes/2ZWKgaS+H908chM+gUNerl0U8+9qKlLSIYh+gKYSWBdYP3e1WtTtTFmJOpV/JzQ==" saltValue="QUvK2YikGdWp1ZoEsLtLIA==" spinCount="100000" sheet="1" objects="1" scenarios="1"/>
  <mergeCells count="1">
    <mergeCell ref="C17:Q17"/>
  </mergeCells>
  <pageMargins left="0.70866141732283472" right="0.70866141732283472" top="0.78740157480314965" bottom="0.78740157480314965" header="0.31496062992125984" footer="0.31496062992125984"/>
  <pageSetup scale="84" orientation="landscape" r:id="rId1"/>
  <headerFooter>
    <oddHeader>&amp;C&amp;"-,Tučné"&amp;16Výstavba zimního stadionu v Olomouci
zjednodušený finanční model</oddHeader>
    <oddFooter>&amp;RVypracoval: Průmstav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NPV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Blaťák ing.</dc:creator>
  <cp:lastModifiedBy>Dave</cp:lastModifiedBy>
  <cp:lastPrinted>2011-06-14T15:54:42Z</cp:lastPrinted>
  <dcterms:created xsi:type="dcterms:W3CDTF">2011-05-06T12:03:52Z</dcterms:created>
  <dcterms:modified xsi:type="dcterms:W3CDTF">2017-05-03T20:31:50Z</dcterms:modified>
</cp:coreProperties>
</file>