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 codeName="{DF908ECD-C663-F43C-BE37-009161E90720}"/>
  <workbookPr filterPrivacy="1" codeName="ThisWorkbook"/>
  <bookViews>
    <workbookView xWindow="32220" yWindow="0" windowWidth="22260" windowHeight="12645" tabRatio="722"/>
  </bookViews>
  <sheets>
    <sheet name="Numerická analýza průhybu" sheetId="3" r:id="rId1"/>
    <sheet name="Součinitel dotvarování" sheetId="8" state="hidden" r:id="rId2"/>
    <sheet name="Protokol" sheetId="6" state="hidden" r:id="rId3"/>
    <sheet name="Protokol (průřez bez trhlin)" sheetId="7" state="hidden" r:id="rId4"/>
    <sheet name="List1" sheetId="1" state="hidden" r:id="rId5"/>
    <sheet name="List2" sheetId="2" state="hidden" r:id="rId6"/>
    <sheet name="List5" sheetId="5" state="hidden" r:id="rId7"/>
    <sheet name="List4" sheetId="4" state="hidden" r:id="rId8"/>
  </sheets>
  <definedNames>
    <definedName name="_xlnm.Print_Area" localSheetId="2">Protokol!$A$2:$F$185</definedName>
    <definedName name="_xlnm.Print_Area" localSheetId="3">'Protokol (průřez bez trhlin)'!$A$2:$F$138</definedName>
    <definedName name="_xlnm.Print_Area" localSheetId="1">'Součinitel dotvarování'!$A$3:$F$47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5" l="1"/>
  <c r="C59" i="5"/>
  <c r="C60" i="5" s="1"/>
  <c r="C58" i="5"/>
  <c r="C56" i="5"/>
  <c r="C57" i="2"/>
  <c r="C60" i="2" s="1"/>
  <c r="C61" i="2" s="1"/>
  <c r="C61" i="5" l="1"/>
  <c r="C22" i="5" s="1"/>
  <c r="H14" i="1" l="1"/>
  <c r="E59" i="1" l="1"/>
  <c r="I43" i="1"/>
  <c r="J43" i="1" s="1"/>
  <c r="I42" i="1"/>
  <c r="J42" i="1" s="1"/>
  <c r="D25" i="1" l="1"/>
  <c r="E25" i="1" s="1"/>
  <c r="C23" i="5" l="1"/>
  <c r="D26" i="1" l="1"/>
  <c r="E26" i="1" s="1"/>
  <c r="C23" i="2"/>
  <c r="C12" i="2"/>
  <c r="C48" i="2" s="1"/>
  <c r="C12" i="5"/>
  <c r="C18" i="2"/>
  <c r="E86" i="1" l="1"/>
  <c r="D64" i="1"/>
  <c r="E64" i="1" s="1"/>
  <c r="D61" i="1"/>
  <c r="E61" i="1" s="1"/>
  <c r="C44" i="2"/>
  <c r="C21" i="5"/>
  <c r="C33" i="5"/>
  <c r="E32" i="5" s="1"/>
  <c r="C18" i="5"/>
  <c r="C15" i="5"/>
  <c r="C14" i="5"/>
  <c r="E28" i="1"/>
  <c r="D29" i="1"/>
  <c r="D30" i="1" s="1"/>
  <c r="D33" i="1" s="1"/>
  <c r="E30" i="1" l="1"/>
  <c r="D100" i="1"/>
  <c r="I86" i="1"/>
  <c r="C50" i="2"/>
  <c r="D62" i="1" s="1"/>
  <c r="E62" i="1" s="1"/>
  <c r="D65" i="1"/>
  <c r="E65" i="1" s="1"/>
  <c r="E29" i="1"/>
  <c r="D50" i="2" l="1"/>
  <c r="D63" i="1"/>
  <c r="C33" i="2"/>
  <c r="E32" i="2" s="1"/>
  <c r="C14" i="2"/>
  <c r="C15" i="2"/>
  <c r="D27" i="1"/>
  <c r="D24" i="1"/>
  <c r="E24" i="1" s="1"/>
  <c r="D22" i="1"/>
  <c r="E22" i="1" s="1"/>
  <c r="D21" i="1"/>
  <c r="C22" i="2" l="1"/>
  <c r="C13" i="5"/>
  <c r="C31" i="5" s="1"/>
  <c r="C25" i="5" s="1"/>
  <c r="E27" i="1"/>
  <c r="E20" i="1"/>
  <c r="C21" i="2"/>
  <c r="D43" i="1"/>
  <c r="E63" i="1"/>
  <c r="E21" i="1"/>
  <c r="C13" i="2"/>
  <c r="D23" i="1"/>
  <c r="H20" i="1"/>
  <c r="E33" i="1"/>
  <c r="E23" i="1" l="1"/>
  <c r="H16" i="1"/>
  <c r="H15" i="1"/>
  <c r="C32" i="5"/>
  <c r="C26" i="5" s="1"/>
  <c r="C11" i="5"/>
  <c r="D29" i="5" s="1"/>
  <c r="C10" i="5"/>
  <c r="D28" i="5" s="1"/>
  <c r="D35" i="5" s="1"/>
  <c r="D67" i="1"/>
  <c r="E67" i="1" s="1"/>
  <c r="D48" i="1"/>
  <c r="E48" i="1" s="1"/>
  <c r="D34" i="1"/>
  <c r="C31" i="2"/>
  <c r="C25" i="2" s="1"/>
  <c r="C10" i="2"/>
  <c r="D28" i="2" s="1"/>
  <c r="C32" i="2"/>
  <c r="C26" i="2" s="1"/>
  <c r="D75" i="1"/>
  <c r="D77" i="1" s="1"/>
  <c r="E77" i="1" s="1"/>
  <c r="C11" i="2"/>
  <c r="D29" i="2" s="1"/>
  <c r="D36" i="5" l="1"/>
  <c r="D68" i="1"/>
  <c r="D69" i="1" s="1"/>
  <c r="E69" i="1" s="1"/>
  <c r="D35" i="2"/>
  <c r="D36" i="2"/>
  <c r="D49" i="1"/>
  <c r="E49" i="1" s="1"/>
  <c r="D76" i="1"/>
  <c r="E76" i="1" s="1"/>
  <c r="E75" i="1"/>
  <c r="E34" i="1"/>
  <c r="D35" i="1"/>
  <c r="E35" i="1" s="1"/>
  <c r="E68" i="1" l="1"/>
  <c r="D70" i="1"/>
  <c r="D50" i="1"/>
  <c r="D51" i="1" s="1"/>
  <c r="D39" i="1"/>
  <c r="D36" i="1"/>
  <c r="E70" i="1" l="1"/>
  <c r="D78" i="1"/>
  <c r="E51" i="1"/>
  <c r="D56" i="1"/>
  <c r="H56" i="1" s="1"/>
  <c r="D95" i="1"/>
  <c r="D96" i="1" s="1"/>
  <c r="L39" i="1"/>
  <c r="M39" i="1" s="1"/>
  <c r="E50" i="1"/>
  <c r="E36" i="1"/>
  <c r="D37" i="1"/>
  <c r="D53" i="1" l="1"/>
  <c r="D54" i="1" s="1"/>
  <c r="H54" i="1" s="1"/>
  <c r="D55" i="1"/>
  <c r="H55" i="1" s="1"/>
  <c r="D42" i="1"/>
  <c r="E37" i="1"/>
  <c r="D92" i="1"/>
  <c r="D93" i="1" s="1"/>
  <c r="D99" i="1" s="1"/>
  <c r="D79" i="1" l="1"/>
  <c r="H79" i="1" s="1"/>
  <c r="D52" i="1"/>
  <c r="E52" i="1" s="1"/>
  <c r="E53" i="1"/>
  <c r="E78" i="1"/>
  <c r="E85" i="1" l="1"/>
  <c r="I85" i="1" s="1"/>
</calcChain>
</file>

<file path=xl/sharedStrings.xml><?xml version="1.0" encoding="utf-8"?>
<sst xmlns="http://schemas.openxmlformats.org/spreadsheetml/2006/main" count="1023" uniqueCount="455">
  <si>
    <t>C20/25</t>
  </si>
  <si>
    <t>C30/37</t>
  </si>
  <si>
    <t>C12/15</t>
  </si>
  <si>
    <t>C16/20</t>
  </si>
  <si>
    <t>C25/30</t>
  </si>
  <si>
    <t>C35/45</t>
  </si>
  <si>
    <t>C40/50</t>
  </si>
  <si>
    <t>C50/60</t>
  </si>
  <si>
    <t>pevnosti betonu:</t>
  </si>
  <si>
    <t>výztuž:</t>
  </si>
  <si>
    <t>B 500A</t>
  </si>
  <si>
    <t>B 550B</t>
  </si>
  <si>
    <t>B 500B</t>
  </si>
  <si>
    <t>B 550A</t>
  </si>
  <si>
    <t>B 420B</t>
  </si>
  <si>
    <t>modul pružnosti betonu</t>
  </si>
  <si>
    <t>modul pružnosti oceli</t>
  </si>
  <si>
    <t>rozmery nosniku:</t>
  </si>
  <si>
    <t>zatizeni:</t>
  </si>
  <si>
    <t>plocha výztuže:</t>
  </si>
  <si>
    <t>plocha betonu</t>
  </si>
  <si>
    <t>mm</t>
  </si>
  <si>
    <t>mm2</t>
  </si>
  <si>
    <t>m2</t>
  </si>
  <si>
    <t xml:space="preserve">d </t>
  </si>
  <si>
    <t>m</t>
  </si>
  <si>
    <t>vystupni hodnoty:</t>
  </si>
  <si>
    <t>kN/m</t>
  </si>
  <si>
    <t>kN.m</t>
  </si>
  <si>
    <t>souc. Dotvarovani</t>
  </si>
  <si>
    <t>ϕ</t>
  </si>
  <si>
    <t>Poměrné přetvoření od dotvarovaní a smršťování dle ČSN EN 1992-1-1</t>
  </si>
  <si>
    <t>B.1 Základní vztahy pro stanovení součinitele dotvarování</t>
  </si>
  <si>
    <t>ϕ0 = ϕRH . β(fcm) . β(t0)</t>
  </si>
  <si>
    <t>ϕ (t,t0) = ϕ0 . βc(t,t0)</t>
  </si>
  <si>
    <t xml:space="preserve">ϕRH = </t>
  </si>
  <si>
    <t xml:space="preserve">RH = </t>
  </si>
  <si>
    <t>%</t>
  </si>
  <si>
    <t>h0 =</t>
  </si>
  <si>
    <r>
      <t xml:space="preserve">pro fcm 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</rPr>
      <t xml:space="preserve"> 35 MPa </t>
    </r>
  </si>
  <si>
    <r>
      <t>pro fcm &gt;</t>
    </r>
    <r>
      <rPr>
        <sz val="11"/>
        <color theme="1"/>
        <rFont val="Calibri"/>
        <family val="2"/>
      </rPr>
      <t xml:space="preserve"> 35 MPa </t>
    </r>
  </si>
  <si>
    <t xml:space="preserve">α1 = </t>
  </si>
  <si>
    <t xml:space="preserve">α2 = </t>
  </si>
  <si>
    <t xml:space="preserve">fcm = </t>
  </si>
  <si>
    <t>MPa</t>
  </si>
  <si>
    <t>C45/55</t>
  </si>
  <si>
    <r>
      <t>f</t>
    </r>
    <r>
      <rPr>
        <vertAlign val="subscript"/>
        <sz val="11"/>
        <rFont val="Calibri"/>
        <family val="2"/>
        <charset val="238"/>
        <scheme val="minor"/>
      </rPr>
      <t>ck,cube</t>
    </r>
  </si>
  <si>
    <r>
      <t> f</t>
    </r>
    <r>
      <rPr>
        <vertAlign val="subscript"/>
        <sz val="11"/>
        <rFont val="Calibri"/>
        <family val="2"/>
        <charset val="238"/>
        <scheme val="minor"/>
      </rPr>
      <t>ck,cyl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</si>
  <si>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cm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</si>
  <si>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ctm</t>
    </r>
  </si>
  <si>
    <t>Třídy a mechanické vlastnosti betonu</t>
  </si>
  <si>
    <t>Betonářské oceli dle ČSN EN 1992-1-1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</si>
  <si>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yk</t>
    </r>
  </si>
  <si>
    <t>RH:</t>
  </si>
  <si>
    <t xml:space="preserve"> β(fcm) =</t>
  </si>
  <si>
    <t>průměrná hodnota pevnosti betonu v tlaku v MPa ve stáří 28 dní</t>
  </si>
  <si>
    <t>součinitel, vystihující vliv stáří betonu v okamžiku vnesení zatížení na</t>
  </si>
  <si>
    <t>základní součinitel dotvarování</t>
  </si>
  <si>
    <t>součinitel, vystihující vliv relativní vlhkosti na základní součinitel dotvarování</t>
  </si>
  <si>
    <t xml:space="preserve">mm </t>
  </si>
  <si>
    <t>součinitele vlivu pevnosti betonu</t>
  </si>
  <si>
    <t>náhradní rozměr prvku v mm</t>
  </si>
  <si>
    <t>relativní vlhkost okolního prostředí v %</t>
  </si>
  <si>
    <t>β (t0) =</t>
  </si>
  <si>
    <t>t0 =</t>
  </si>
  <si>
    <t>stáří betonu ve dnech v okamžiku vnesení zatížení</t>
  </si>
  <si>
    <t>dní</t>
  </si>
  <si>
    <t>součinitel, vystihující vliv stáří betonu v okamžiku vnesení zatížení na základní součinitel dotvarování</t>
  </si>
  <si>
    <t xml:space="preserve">t = </t>
  </si>
  <si>
    <t>stáří betonu ve dnech v uvažovaném okamžiku</t>
  </si>
  <si>
    <t>βc(t,t0) =</t>
  </si>
  <si>
    <t>ϕ0 = ϕRH . β(fcm) . β(t0) =</t>
  </si>
  <si>
    <t>součinitel dotvarování</t>
  </si>
  <si>
    <t>součinitel časového průběhu dotvarování po zatížení</t>
  </si>
  <si>
    <t>βH =</t>
  </si>
  <si>
    <t>≤</t>
  </si>
  <si>
    <t xml:space="preserve">α3 = </t>
  </si>
  <si>
    <t>DNY:</t>
  </si>
  <si>
    <t>ϕ (t,t0) = ϕ0 . βc(t,t0) =</t>
  </si>
  <si>
    <t>[1]</t>
  </si>
  <si>
    <t>[2]</t>
  </si>
  <si>
    <t>Vliv druhu cementu na součinitel dotvarování betonu lze uvažovat úpravou stáří betonu v okamžiku vnesení zatížení t0 ve vztahu podle  následujícího vztahu:</t>
  </si>
  <si>
    <t>???</t>
  </si>
  <si>
    <t xml:space="preserve">MPa </t>
  </si>
  <si>
    <t>-</t>
  </si>
  <si>
    <t xml:space="preserve">GPa </t>
  </si>
  <si>
    <t xml:space="preserve">m </t>
  </si>
  <si>
    <t>plocha ideálního průřezu</t>
  </si>
  <si>
    <t>vzdálenost těžiště ideálního průřezu od horního okraje</t>
  </si>
  <si>
    <t>moment setrvačnosti ideálního průřezu k jeho těžišti</t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</si>
  <si>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I,ef</t>
    </r>
  </si>
  <si>
    <r>
      <t>α</t>
    </r>
    <r>
      <rPr>
        <vertAlign val="subscript"/>
        <sz val="11"/>
        <color theme="1"/>
        <rFont val="Calibri"/>
        <family val="2"/>
        <charset val="238"/>
      </rPr>
      <t>I,ef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</si>
  <si>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I,ef</t>
    </r>
  </si>
  <si>
    <t>m4</t>
  </si>
  <si>
    <t>ohybová tuhost</t>
  </si>
  <si>
    <t>MNm2</t>
  </si>
  <si>
    <t>ohybova poddajnost</t>
  </si>
  <si>
    <t>1/(MNm2)</t>
  </si>
  <si>
    <t>ohybový moment při vzniku trhlin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</si>
  <si>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cr,ef</t>
    </r>
  </si>
  <si>
    <t xml:space="preserve">MNm </t>
  </si>
  <si>
    <t>=</t>
  </si>
  <si>
    <t>kNm</t>
  </si>
  <si>
    <t>VYHODNOCENÍ: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</si>
  <si>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</si>
  <si>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c,ef</t>
    </r>
  </si>
  <si>
    <r>
      <t>α</t>
    </r>
    <r>
      <rPr>
        <vertAlign val="subscript"/>
        <sz val="11"/>
        <color theme="1"/>
        <rFont val="Calibri"/>
        <family val="2"/>
        <charset val="238"/>
      </rPr>
      <t>e,ef</t>
    </r>
  </si>
  <si>
    <t>VZNIKNOU TRHLINY?</t>
  </si>
  <si>
    <t>Doporučené hodnoty součinitele ψ2 pro pozemní stavby:</t>
  </si>
  <si>
    <t>PRŮHYB OD KVAZISTÁLÉHO ZATÍŽENÍ: A. GEOMETRICKÉ CHARAKTERISTIKY PRŮŘEZU BEZ TRHLINY</t>
  </si>
  <si>
    <t>PRŮHYB OD KVAZISTÁLÉHO ZATÍŽENÍ: B. GEOMETRICKÉ CHARAKTERISTIKY PRŮŘEZU S TRHLINOU - OHYB</t>
  </si>
  <si>
    <r>
      <rPr>
        <sz val="11"/>
        <color theme="1"/>
        <rFont val="Calibri"/>
        <family val="2"/>
        <charset val="238"/>
      </rPr>
      <t>Χ</t>
    </r>
    <r>
      <rPr>
        <vertAlign val="subscript"/>
        <sz val="11"/>
        <color theme="1"/>
        <rFont val="Calibri"/>
        <family val="2"/>
        <charset val="238"/>
      </rPr>
      <t xml:space="preserve">cr,ef 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</si>
  <si>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II,ef</t>
    </r>
  </si>
  <si>
    <t>vzdálenost neutrální osy od tlačeneho okraje</t>
  </si>
  <si>
    <t xml:space="preserve">moment setrvačnosti </t>
  </si>
  <si>
    <t>ohybova tuhost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</si>
  <si>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c,ef</t>
    </r>
    <r>
      <rPr>
        <sz val="11"/>
        <color theme="1"/>
        <rFont val="Calibri"/>
        <family val="2"/>
        <scheme val="minor"/>
      </rPr>
      <t>.I</t>
    </r>
    <r>
      <rPr>
        <vertAlign val="subscript"/>
        <sz val="11"/>
        <color theme="1"/>
        <rFont val="Calibri"/>
        <family val="2"/>
        <charset val="238"/>
        <scheme val="minor"/>
      </rPr>
      <t>II,ef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</si>
  <si>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c,ef</t>
    </r>
    <r>
      <rPr>
        <sz val="11"/>
        <color theme="1"/>
        <rFont val="Calibri"/>
        <family val="2"/>
        <scheme val="minor"/>
      </rPr>
      <t>.I</t>
    </r>
    <r>
      <rPr>
        <vertAlign val="subscript"/>
        <sz val="11"/>
        <color theme="1"/>
        <rFont val="Calibri"/>
        <family val="2"/>
        <charset val="238"/>
        <scheme val="minor"/>
      </rPr>
      <t>I,ef</t>
    </r>
  </si>
  <si>
    <t xml:space="preserve">křivost od zatížení </t>
  </si>
  <si>
    <t>zéta</t>
  </si>
  <si>
    <t>křivost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</si>
  <si>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e,qp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</si>
  <si>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II,ef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</si>
  <si>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I,ef</t>
    </r>
  </si>
  <si>
    <t>1/m</t>
  </si>
  <si>
    <t>PRŮHYB OD SMRŠŤOVÁNÍ: A. GEOMETRICKÉ CHARAKTERISTIKY PRŮŘEZU BEZ TRHLINY</t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</si>
  <si>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c,sh</t>
    </r>
  </si>
  <si>
    <t>B.2 Základní vztahy pro stanovení poměrného přetvoření od smršťování vysycháním</t>
  </si>
  <si>
    <t>SMRŠŤOVÁNÍ</t>
  </si>
  <si>
    <t xml:space="preserve">fcm0 = </t>
  </si>
  <si>
    <t>S</t>
  </si>
  <si>
    <t>N</t>
  </si>
  <si>
    <t>R</t>
  </si>
  <si>
    <r>
      <t>α</t>
    </r>
    <r>
      <rPr>
        <vertAlign val="subscript"/>
        <sz val="11"/>
        <color theme="1"/>
        <rFont val="Calibri"/>
        <family val="2"/>
        <charset val="238"/>
      </rPr>
      <t>ds1</t>
    </r>
  </si>
  <si>
    <r>
      <t>α</t>
    </r>
    <r>
      <rPr>
        <vertAlign val="subscript"/>
        <sz val="11"/>
        <color theme="1"/>
        <rFont val="Calibri"/>
        <family val="2"/>
        <charset val="238"/>
        <scheme val="minor"/>
      </rPr>
      <t>ds2</t>
    </r>
  </si>
  <si>
    <t>Cement:</t>
  </si>
  <si>
    <r>
      <t>α</t>
    </r>
    <r>
      <rPr>
        <vertAlign val="subscript"/>
        <sz val="11"/>
        <color theme="1"/>
        <rFont val="Calibri"/>
        <family val="2"/>
        <charset val="238"/>
      </rPr>
      <t>ds1</t>
    </r>
    <r>
      <rPr>
        <sz val="11"/>
        <color theme="1"/>
        <rFont val="Calibri"/>
        <family val="2"/>
      </rPr>
      <t xml:space="preserve"> = </t>
    </r>
  </si>
  <si>
    <r>
      <t>α</t>
    </r>
    <r>
      <rPr>
        <vertAlign val="subscript"/>
        <sz val="11"/>
        <color theme="1"/>
        <rFont val="Calibri"/>
        <family val="2"/>
        <charset val="238"/>
      </rPr>
      <t>ds2</t>
    </r>
    <r>
      <rPr>
        <sz val="11"/>
        <color theme="1"/>
        <rFont val="Calibri"/>
        <family val="2"/>
      </rPr>
      <t xml:space="preserve"> = </t>
    </r>
  </si>
  <si>
    <r>
      <rPr>
        <sz val="11"/>
        <color theme="1"/>
        <rFont val="Calibri"/>
        <family val="2"/>
        <charset val="238"/>
      </rPr>
      <t>β</t>
    </r>
    <r>
      <rPr>
        <vertAlign val="subscript"/>
        <sz val="11"/>
        <color theme="1"/>
        <rFont val="Calibri"/>
        <family val="2"/>
        <charset val="238"/>
      </rPr>
      <t>RH</t>
    </r>
    <r>
      <rPr>
        <sz val="11"/>
        <color theme="1"/>
        <rFont val="Calibri"/>
        <family val="2"/>
      </rPr>
      <t xml:space="preserve"> =</t>
    </r>
  </si>
  <si>
    <t>součinitel, který závisí na druhu cementu</t>
  </si>
  <si>
    <r>
      <rPr>
        <sz val="11"/>
        <color theme="1"/>
        <rFont val="Calibri"/>
        <family val="2"/>
        <charset val="238"/>
      </rPr>
      <t>ε</t>
    </r>
    <r>
      <rPr>
        <vertAlign val="subscript"/>
        <sz val="11"/>
        <color theme="1"/>
        <rFont val="Calibri"/>
        <family val="2"/>
        <charset val="238"/>
      </rPr>
      <t>cd,0</t>
    </r>
    <r>
      <rPr>
        <sz val="11"/>
        <color theme="1"/>
        <rFont val="Calibri"/>
        <family val="2"/>
      </rPr>
      <t xml:space="preserve"> = </t>
    </r>
  </si>
  <si>
    <t>konečná hodnota poměrného smršťování vysycháním</t>
  </si>
  <si>
    <t>autogenní smršťování</t>
  </si>
  <si>
    <r>
      <t>f</t>
    </r>
    <r>
      <rPr>
        <vertAlign val="subscript"/>
        <sz val="11"/>
        <color theme="1"/>
        <rFont val="Calibri"/>
        <family val="2"/>
        <charset val="238"/>
      </rPr>
      <t>ck</t>
    </r>
    <r>
      <rPr>
        <sz val="11"/>
        <color theme="1"/>
        <rFont val="Calibri"/>
        <family val="2"/>
        <charset val="238"/>
      </rPr>
      <t xml:space="preserve"> </t>
    </r>
  </si>
  <si>
    <r>
      <t>ε</t>
    </r>
    <r>
      <rPr>
        <vertAlign val="subscript"/>
        <sz val="11"/>
        <color theme="1"/>
        <rFont val="Calibri"/>
        <family val="2"/>
        <charset val="238"/>
      </rPr>
      <t>ca</t>
    </r>
    <r>
      <rPr>
        <sz val="11"/>
        <color theme="1"/>
        <rFont val="Calibri"/>
        <family val="2"/>
      </rPr>
      <t xml:space="preserve"> </t>
    </r>
  </si>
  <si>
    <r>
      <t>ε</t>
    </r>
    <r>
      <rPr>
        <vertAlign val="subscript"/>
        <sz val="11"/>
        <color theme="1"/>
        <rFont val="Calibri"/>
        <family val="2"/>
        <charset val="238"/>
      </rPr>
      <t>cd</t>
    </r>
    <r>
      <rPr>
        <sz val="11"/>
        <color theme="1"/>
        <rFont val="Calibri"/>
        <family val="2"/>
      </rPr>
      <t xml:space="preserve"> </t>
    </r>
  </si>
  <si>
    <t>poměrné dotvarování vysycháním</t>
  </si>
  <si>
    <r>
      <t>ε</t>
    </r>
    <r>
      <rPr>
        <vertAlign val="subscript"/>
        <sz val="11"/>
        <color theme="1"/>
        <rFont val="Calibri"/>
        <family val="2"/>
        <charset val="238"/>
      </rPr>
      <t>cs</t>
    </r>
  </si>
  <si>
    <t>pevnost v tlaku betonu</t>
  </si>
  <si>
    <r>
      <t xml:space="preserve">pro fcm </t>
    </r>
    <r>
      <rPr>
        <sz val="11"/>
        <color theme="1"/>
        <rFont val="Calibri"/>
        <family val="2"/>
      </rPr>
      <t xml:space="preserve">≤ 35 MPa </t>
    </r>
  </si>
  <si>
    <r>
      <t>E</t>
    </r>
    <r>
      <rPr>
        <vertAlign val="subscript"/>
        <sz val="11"/>
        <color theme="1"/>
        <rFont val="Calibri"/>
        <family val="2"/>
        <charset val="238"/>
      </rPr>
      <t>c,ef,sh</t>
    </r>
  </si>
  <si>
    <t>GPa</t>
  </si>
  <si>
    <r>
      <t>α</t>
    </r>
    <r>
      <rPr>
        <vertAlign val="subscript"/>
        <sz val="11"/>
        <color theme="1"/>
        <rFont val="Calibri"/>
        <family val="2"/>
        <charset val="238"/>
      </rPr>
      <t>I,ef,sh</t>
    </r>
  </si>
  <si>
    <r>
      <t>α</t>
    </r>
    <r>
      <rPr>
        <vertAlign val="subscript"/>
        <sz val="11"/>
        <color theme="1"/>
        <rFont val="Calibri"/>
        <family val="2"/>
        <charset val="238"/>
      </rPr>
      <t>e,ef,sh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</si>
  <si>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I,ef,sh</t>
    </r>
  </si>
  <si>
    <t>plocha idealniho průřezu</t>
  </si>
  <si>
    <t>vzdalenost težiste ideálního průřezu od horního okraje</t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</si>
  <si>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I,ef,sh</t>
    </r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</si>
  <si>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I,ef,sh</t>
    </r>
  </si>
  <si>
    <t>m3</t>
  </si>
  <si>
    <t>statický moment průřezové plochy k těžišti výztuže</t>
  </si>
  <si>
    <t>PRŮHYB OD SMRŠŤOVÁNÍ: B. GEOMETRICKÉ CHARAKTERISTIKY PRŮŘEZU S TRHLINOU</t>
  </si>
  <si>
    <r>
      <t>Χ</t>
    </r>
    <r>
      <rPr>
        <vertAlign val="subscript"/>
        <sz val="11"/>
        <color theme="1"/>
        <rFont val="Calibri"/>
        <family val="2"/>
        <charset val="238"/>
      </rPr>
      <t>cr,ef,sh</t>
    </r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</si>
  <si>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II,ef,sh</t>
    </r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</si>
  <si>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II,ef,sh</t>
    </r>
  </si>
  <si>
    <t>výsledná křivost od smršťování</t>
  </si>
  <si>
    <t>průhyb</t>
  </si>
  <si>
    <t>f</t>
  </si>
  <si>
    <t>průhyb od smršťování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</si>
  <si>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cs</t>
    </r>
  </si>
  <si>
    <t>průhyb od zatížení</t>
  </si>
  <si>
    <t>Dlouhodobý průhyb od kvazistálé kombinace zatížení (včetně smršťování)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</si>
  <si>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g,lt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</si>
  <si>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lt</t>
    </r>
    <r>
      <rPr>
        <sz val="11"/>
        <color theme="1"/>
        <rFont val="Calibri"/>
        <family val="2"/>
        <scheme val="minor"/>
      </rPr>
      <t xml:space="preserve"> = f</t>
    </r>
    <r>
      <rPr>
        <vertAlign val="subscript"/>
        <sz val="11"/>
        <color theme="1"/>
        <rFont val="Calibri"/>
        <family val="2"/>
        <charset val="238"/>
        <scheme val="minor"/>
      </rPr>
      <t>g,lt</t>
    </r>
    <r>
      <rPr>
        <sz val="11"/>
        <color theme="1"/>
        <rFont val="Calibri"/>
        <family val="2"/>
        <scheme val="minor"/>
      </rPr>
      <t xml:space="preserve"> + f</t>
    </r>
    <r>
      <rPr>
        <vertAlign val="subscript"/>
        <sz val="11"/>
        <color theme="1"/>
        <rFont val="Calibri"/>
        <family val="2"/>
        <charset val="238"/>
        <scheme val="minor"/>
      </rPr>
      <t>cs</t>
    </r>
    <r>
      <rPr>
        <sz val="11"/>
        <color theme="1"/>
        <rFont val="Calibri"/>
        <family val="2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</si>
  <si>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lim,lt</t>
    </r>
    <r>
      <rPr>
        <sz val="11"/>
        <color theme="1"/>
        <rFont val="Calibri"/>
        <family val="2"/>
        <scheme val="minor"/>
      </rPr>
      <t xml:space="preserve"> = </t>
    </r>
  </si>
  <si>
    <t>POSOUZENÍ PRŮHYBU:</t>
  </si>
  <si>
    <r>
      <t>POZN. f</t>
    </r>
    <r>
      <rPr>
        <b/>
        <vertAlign val="subscript"/>
        <sz val="11"/>
        <color theme="1"/>
        <rFont val="Calibri"/>
        <family val="2"/>
        <charset val="238"/>
        <scheme val="minor"/>
      </rPr>
      <t>lt</t>
    </r>
    <r>
      <rPr>
        <b/>
        <sz val="11"/>
        <color theme="1"/>
        <rFont val="Calibri"/>
        <family val="2"/>
        <charset val="238"/>
        <scheme val="minor"/>
      </rPr>
      <t xml:space="preserve"> &lt; f</t>
    </r>
    <r>
      <rPr>
        <b/>
        <vertAlign val="subscript"/>
        <sz val="11"/>
        <color theme="1"/>
        <rFont val="Calibri"/>
        <family val="2"/>
        <charset val="238"/>
        <scheme val="minor"/>
      </rPr>
      <t>lim,lt</t>
    </r>
  </si>
  <si>
    <t>VÝPOČET KŘIVOSTÍ PRO NOSNÍK BEZ VZNIKU TRHLIN:</t>
  </si>
  <si>
    <t>od zatížení</t>
  </si>
  <si>
    <t>od smršťování</t>
  </si>
  <si>
    <t>celkový průhyb u nosníku bez trhlin: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</si>
  <si>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lim</t>
    </r>
    <r>
      <rPr>
        <sz val="11"/>
        <color theme="1"/>
        <rFont val="Calibri"/>
        <family val="2"/>
        <scheme val="minor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</si>
  <si>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</si>
  <si>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</si>
  <si>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s1</t>
    </r>
  </si>
  <si>
    <t>kvazistálá kom.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</si>
  <si>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(g+q)</t>
    </r>
  </si>
  <si>
    <t>ZATÍŽENÍ</t>
  </si>
  <si>
    <t>Třídy cementu</t>
  </si>
  <si>
    <t>stáří betonu ve dnech v uvažovaném okamžiku (nekonečno)</t>
  </si>
  <si>
    <t>ψ2</t>
  </si>
  <si>
    <t>ψ1</t>
  </si>
  <si>
    <t>Kategorie A: obytné plochy,  ψ1 = 0,5, ψ2 = 0,3</t>
  </si>
  <si>
    <t>Kategorie B: kancelářské plochy, ψ1 = 0,5, ψ2 = 0,3</t>
  </si>
  <si>
    <t>Kategorie C: schromažďovací plochy, ψ1 = 0,7, ψ2 = 0,6</t>
  </si>
  <si>
    <t>Kategorie D: obchodní plochy, ψ1 = 0,7, ψ2 = 0,6</t>
  </si>
  <si>
    <t>Kategorie E: skladovací plochy, ψ1 = 0,9, ψ2 = 0,8</t>
  </si>
  <si>
    <t>Kategorie F: dopravní plochy, ψ1 = 0,7, ψ2 = 0,6</t>
  </si>
  <si>
    <t>Kategorie G: dopravní plochy, ψ1 = 0,5, ψ2 = 0,3</t>
  </si>
  <si>
    <t>Kategorie H: střechy, ψ1 = 0, ψ2 = 0</t>
  </si>
  <si>
    <t>ψ0</t>
  </si>
  <si>
    <t>ψ</t>
  </si>
  <si>
    <t>M</t>
  </si>
  <si>
    <t>casta</t>
  </si>
  <si>
    <t>charakteristická</t>
  </si>
  <si>
    <r>
      <rPr>
        <sz val="11"/>
        <color theme="1"/>
        <rFont val="Calibri"/>
        <family val="2"/>
        <charset val="238"/>
      </rPr>
      <t>α</t>
    </r>
    <r>
      <rPr>
        <sz val="11"/>
        <color theme="1"/>
        <rFont val="Calibri"/>
        <family val="2"/>
      </rPr>
      <t xml:space="preserve"> = </t>
    </r>
  </si>
  <si>
    <t>α</t>
  </si>
  <si>
    <t>mocnitel vystihující vliv druhu cementu</t>
  </si>
  <si>
    <t>počet dní v nichž převládá teplota T</t>
  </si>
  <si>
    <r>
      <t>Δ</t>
    </r>
    <r>
      <rPr>
        <sz val="11"/>
        <color theme="1"/>
        <rFont val="Calibri"/>
        <family val="2"/>
      </rPr>
      <t xml:space="preserve">t = </t>
    </r>
  </si>
  <si>
    <t xml:space="preserve">T(Δt) = </t>
  </si>
  <si>
    <t xml:space="preserve">teplota kterou zadá uživatel </t>
  </si>
  <si>
    <t xml:space="preserve">teplota °C během období 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</si>
  <si>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</si>
  <si>
    <t>B.10 stáří betonu upravené s přihlédnutím k vlivu teploty, kterým se nagrazuje t v příslušných vztazích</t>
  </si>
  <si>
    <t>B.9 stáří betonu ve dnech v okamžiku vnesení zatížení, upravené s přihlédnutím k vlivu teploty podle vztahu (B.10)</t>
  </si>
  <si>
    <t>°C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</si>
  <si>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0,(nový)</t>
    </r>
    <r>
      <rPr>
        <sz val="11"/>
        <color theme="1"/>
        <rFont val="Calibri"/>
        <family val="2"/>
        <scheme val="minor"/>
      </rPr>
      <t xml:space="preserve"> = </t>
    </r>
  </si>
  <si>
    <t>Výpočet přetvoření od dotvarování a smršťování</t>
  </si>
  <si>
    <t>Třída betonu:</t>
  </si>
  <si>
    <t>Modul pružnosti betonu: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</si>
  <si>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scheme val="minor"/>
      </rPr>
      <t xml:space="preserve"> = </t>
    </r>
  </si>
  <si>
    <t>Třída výztuže:</t>
  </si>
  <si>
    <t>Modul pružnosti výztuže: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</si>
  <si>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</si>
  <si>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t>Výška průřezu:</t>
  </si>
  <si>
    <t>h =</t>
  </si>
  <si>
    <t xml:space="preserve">b = </t>
  </si>
  <si>
    <t>Délka nosníku:</t>
  </si>
  <si>
    <t xml:space="preserve">l = </t>
  </si>
  <si>
    <r>
      <t>g</t>
    </r>
    <r>
      <rPr>
        <vertAlign val="subscript"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</si>
  <si>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scheme val="minor"/>
      </rPr>
      <t xml:space="preserve"> =</t>
    </r>
  </si>
  <si>
    <t>Průměr hlavní ohybové výztuže:</t>
  </si>
  <si>
    <t>Počet prutů ohybové výztuže:</t>
  </si>
  <si>
    <t>Průměr třmínků:</t>
  </si>
  <si>
    <t>Krytí: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</si>
  <si>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</rPr>
      <t xml:space="preserve"> = </t>
    </r>
  </si>
  <si>
    <r>
      <t>Ø</t>
    </r>
    <r>
      <rPr>
        <vertAlign val="subscript"/>
        <sz val="11"/>
        <color theme="1"/>
        <rFont val="Calibri"/>
        <family val="2"/>
        <charset val="238"/>
        <scheme val="minor"/>
      </rPr>
      <t>tř</t>
    </r>
    <r>
      <rPr>
        <sz val="11"/>
        <color theme="1"/>
        <rFont val="Calibri"/>
        <family val="2"/>
        <scheme val="minor"/>
      </rPr>
      <t xml:space="preserve"> = </t>
    </r>
  </si>
  <si>
    <t>c =</t>
  </si>
  <si>
    <t>Relativní vlhkost okolního prostředí:</t>
  </si>
  <si>
    <t>Čas vnesení zatížení: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</si>
  <si>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= </t>
    </r>
  </si>
  <si>
    <t>Kategorie konstrukce dle zatížení:</t>
  </si>
  <si>
    <r>
      <t>ψ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</si>
  <si>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ψ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</si>
  <si>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ks</t>
  </si>
  <si>
    <t>počet =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</si>
  <si>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sh</t>
    </r>
    <r>
      <rPr>
        <sz val="11"/>
        <color theme="1"/>
        <rFont val="Calibri"/>
        <family val="2"/>
        <scheme val="minor"/>
      </rPr>
      <t xml:space="preserve"> = </t>
    </r>
  </si>
  <si>
    <t>Třída cementu:</t>
  </si>
  <si>
    <t>Teplota okolního prostředí:</t>
  </si>
  <si>
    <t>T =</t>
  </si>
  <si>
    <t>1. Vstupní hodnoty:</t>
  </si>
  <si>
    <t>Kategorie A: obytné plochy</t>
  </si>
  <si>
    <t>Kategorie B: kancelářské plochy</t>
  </si>
  <si>
    <t>Kategorie C: schromažďovací plochy</t>
  </si>
  <si>
    <t>Kategorie E: skladovací plochy</t>
  </si>
  <si>
    <t>Kategorie F: dopravní plochy</t>
  </si>
  <si>
    <t>Kategorie D: obchodní plochy</t>
  </si>
  <si>
    <t>Kategorie G: dopravní plochy</t>
  </si>
  <si>
    <t>Kategorie H: střechy</t>
  </si>
  <si>
    <t>2. Výstupní hodnoty:</t>
  </si>
  <si>
    <r>
      <t>ϕ (</t>
    </r>
    <r>
      <rPr>
        <sz val="11"/>
        <color theme="1"/>
        <rFont val="Calibri"/>
        <family val="2"/>
        <charset val="238"/>
      </rPr>
      <t>ꝏ</t>
    </r>
    <r>
      <rPr>
        <sz val="11"/>
        <color theme="1"/>
        <rFont val="Calibri"/>
        <family val="2"/>
        <scheme val="minor"/>
      </rPr>
      <t>,t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) = ϕ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. βc(ꝏ,t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</si>
  <si>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= ϕRH . β(f</t>
    </r>
    <r>
      <rPr>
        <vertAlign val="subscript"/>
        <sz val="11"/>
        <color theme="1"/>
        <rFont val="Calibri"/>
        <family val="2"/>
        <charset val="238"/>
        <scheme val="minor"/>
      </rPr>
      <t>cm</t>
    </r>
    <r>
      <rPr>
        <sz val="11"/>
        <color theme="1"/>
        <rFont val="Calibri"/>
        <family val="2"/>
        <scheme val="minor"/>
      </rPr>
      <t>) . β(t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</si>
  <si>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Charakteristická pevnost betonu v tlaku:</t>
  </si>
  <si>
    <t>Střední hodnota pevnosti betonu v tlaku:</t>
  </si>
  <si>
    <r>
      <t xml:space="preserve">Hodnoty součinitelů </t>
    </r>
    <r>
      <rPr>
        <sz val="11"/>
        <color theme="1"/>
        <rFont val="Calibri"/>
        <family val="2"/>
        <charset val="238"/>
      </rPr>
      <t>ψ: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</si>
  <si>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ck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</si>
  <si>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cm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</si>
  <si>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Plocha betonového průřezu:</t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</si>
  <si>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scheme val="minor"/>
      </rPr>
      <t xml:space="preserve"> = 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</si>
  <si>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</si>
  <si>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yk</t>
    </r>
    <r>
      <rPr>
        <sz val="11"/>
        <color theme="1"/>
        <rFont val="Calibri"/>
        <family val="2"/>
        <scheme val="minor"/>
      </rPr>
      <t xml:space="preserve"> =</t>
    </r>
  </si>
  <si>
    <t>Mez kluzu výztuže:</t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</si>
  <si>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</si>
  <si>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r>
      <t>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</si>
  <si>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2.1. Materiálové a geometrické vlastnosti:</t>
  </si>
  <si>
    <t xml:space="preserve">d = 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</si>
  <si>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</si>
  <si>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t>Plocha hlavní ohybové výztuže:</t>
  </si>
  <si>
    <t>Vzdálenost spodní výztuže od dolních vláken:</t>
  </si>
  <si>
    <t>Vzdálenost spodní výztuže od horních vláken:</t>
  </si>
  <si>
    <t>2.2. Zatížení:</t>
  </si>
  <si>
    <t>Kvazistálá kombinace zatížení:</t>
  </si>
  <si>
    <t>Častá kombinace zatížení:</t>
  </si>
  <si>
    <t>Charakteristická kombinace zatížení: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</si>
  <si>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E,qp</t>
    </r>
    <r>
      <rPr>
        <sz val="11"/>
        <color theme="1"/>
        <rFont val="Calibri"/>
        <family val="2"/>
        <scheme val="minor"/>
      </rPr>
      <t xml:space="preserve"> = 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</si>
  <si>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E,fr</t>
    </r>
    <r>
      <rPr>
        <sz val="11"/>
        <color theme="1"/>
        <rFont val="Calibri"/>
        <family val="2"/>
        <scheme val="minor"/>
      </rPr>
      <t xml:space="preserve"> = 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</si>
  <si>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E,k</t>
    </r>
    <r>
      <rPr>
        <sz val="11"/>
        <color theme="1"/>
        <rFont val="Calibri"/>
        <family val="2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</si>
  <si>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qp</t>
    </r>
    <r>
      <rPr>
        <sz val="11"/>
        <color theme="1"/>
        <rFont val="Calibri"/>
        <family val="2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</si>
  <si>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fr</t>
    </r>
    <r>
      <rPr>
        <sz val="11"/>
        <color theme="1"/>
        <rFont val="Calibri"/>
        <family val="2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</si>
  <si>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scheme val="minor"/>
      </rPr>
      <t xml:space="preserve"> = </t>
    </r>
  </si>
  <si>
    <t>Ohybový moment od kvazistálé kombinace:</t>
  </si>
  <si>
    <t>Ohybový moment od časté kombinace:</t>
  </si>
  <si>
    <t>Ohybový moment od charakteristické kombinace:</t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</si>
  <si>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lim,lt,qp</t>
    </r>
    <r>
      <rPr>
        <sz val="11"/>
        <color theme="1"/>
        <rFont val="Calibri"/>
        <family val="2"/>
        <scheme val="minor"/>
      </rPr>
      <t xml:space="preserve"> = </t>
    </r>
  </si>
  <si>
    <t>3.2. Výpočet průhybu:</t>
  </si>
  <si>
    <t>3. Výpočet přetvoření:</t>
  </si>
  <si>
    <t>Zatížení začíná působit v čase:</t>
  </si>
  <si>
    <t>Náhradní tloušťka: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</si>
  <si>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= </t>
    </r>
  </si>
  <si>
    <t>Součinitel dotvarování pro čas vnesení zatížení:</t>
  </si>
  <si>
    <r>
      <rPr>
        <sz val="11"/>
        <color theme="1"/>
        <rFont val="Calibri"/>
        <family val="2"/>
        <charset val="238"/>
      </rPr>
      <t>ϕ</t>
    </r>
    <r>
      <rPr>
        <vertAlign val="subscript"/>
        <sz val="11"/>
        <color theme="1"/>
        <rFont val="Calibri"/>
        <family val="2"/>
        <charset val="238"/>
      </rPr>
      <t>c</t>
    </r>
    <r>
      <rPr>
        <sz val="11"/>
        <color theme="1"/>
        <rFont val="Calibri"/>
        <family val="2"/>
      </rPr>
      <t xml:space="preserve"> = </t>
    </r>
  </si>
  <si>
    <r>
      <t>ϕ</t>
    </r>
    <r>
      <rPr>
        <vertAlign val="subscript"/>
        <sz val="11"/>
        <color theme="1"/>
        <rFont val="Calibri"/>
        <family val="2"/>
        <charset val="238"/>
      </rPr>
      <t>c,sh</t>
    </r>
    <r>
      <rPr>
        <sz val="11"/>
        <color theme="1"/>
        <rFont val="Calibri"/>
        <family val="2"/>
      </rPr>
      <t xml:space="preserve"> = </t>
    </r>
  </si>
  <si>
    <t>Součinitel dotvarování pro smršťování:</t>
  </si>
  <si>
    <t>Autogenní smršťování:</t>
  </si>
  <si>
    <t>Poměrné dotvarování vysycháním:</t>
  </si>
  <si>
    <r>
      <t>ε</t>
    </r>
    <r>
      <rPr>
        <vertAlign val="subscript"/>
        <sz val="11"/>
        <color theme="1"/>
        <rFont val="Calibri"/>
        <family val="2"/>
        <charset val="238"/>
      </rPr>
      <t>ca</t>
    </r>
    <r>
      <rPr>
        <sz val="11"/>
        <color theme="1"/>
        <rFont val="Calibri"/>
        <family val="2"/>
      </rPr>
      <t xml:space="preserve"> = </t>
    </r>
  </si>
  <si>
    <r>
      <t>ε</t>
    </r>
    <r>
      <rPr>
        <vertAlign val="subscript"/>
        <sz val="11"/>
        <color theme="1"/>
        <rFont val="Calibri"/>
        <family val="2"/>
        <charset val="238"/>
      </rPr>
      <t>cd</t>
    </r>
    <r>
      <rPr>
        <sz val="11"/>
        <color theme="1"/>
        <rFont val="Calibri"/>
        <family val="2"/>
      </rPr>
      <t xml:space="preserve"> = </t>
    </r>
  </si>
  <si>
    <r>
      <t>Pracovní součinitel (poměr E</t>
    </r>
    <r>
      <rPr>
        <vertAlign val="subscript"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>/E</t>
    </r>
    <r>
      <rPr>
        <vertAlign val="subscript"/>
        <sz val="11"/>
        <color theme="1"/>
        <rFont val="Calibri"/>
        <family val="2"/>
        <charset val="238"/>
        <scheme val="minor"/>
      </rPr>
      <t>c,ef</t>
    </r>
    <r>
      <rPr>
        <sz val="11"/>
        <color theme="1"/>
        <rFont val="Calibri"/>
        <family val="2"/>
        <scheme val="minor"/>
      </rPr>
      <t>)</t>
    </r>
  </si>
  <si>
    <r>
      <t>E</t>
    </r>
    <r>
      <rPr>
        <vertAlign val="subscript"/>
        <sz val="11"/>
        <color theme="1"/>
        <rFont val="Calibri"/>
        <family val="2"/>
        <charset val="238"/>
      </rPr>
      <t>c,ef</t>
    </r>
    <r>
      <rPr>
        <sz val="11"/>
        <color theme="1"/>
        <rFont val="Calibri"/>
        <family val="2"/>
        <charset val="238"/>
      </rPr>
      <t xml:space="preserve"> = </t>
    </r>
  </si>
  <si>
    <r>
      <rPr>
        <sz val="11"/>
        <color theme="1"/>
        <rFont val="Calibri"/>
        <family val="2"/>
        <charset val="238"/>
      </rPr>
      <t>α</t>
    </r>
    <r>
      <rPr>
        <vertAlign val="subscript"/>
        <sz val="11"/>
        <color theme="1"/>
        <rFont val="Calibri"/>
        <family val="2"/>
        <charset val="238"/>
      </rPr>
      <t>e,ef</t>
    </r>
    <r>
      <rPr>
        <sz val="11"/>
        <color theme="1"/>
        <rFont val="Calibri"/>
        <family val="2"/>
      </rPr>
      <t xml:space="preserve"> =</t>
    </r>
  </si>
  <si>
    <r>
      <t>E</t>
    </r>
    <r>
      <rPr>
        <vertAlign val="subscript"/>
        <sz val="11"/>
        <color theme="1"/>
        <rFont val="Calibri"/>
        <family val="2"/>
        <charset val="238"/>
      </rPr>
      <t>c,ef,sh</t>
    </r>
    <r>
      <rPr>
        <sz val="11"/>
        <color theme="1"/>
        <rFont val="Calibri"/>
        <family val="2"/>
        <charset val="238"/>
      </rPr>
      <t xml:space="preserve"> = </t>
    </r>
  </si>
  <si>
    <r>
      <t>α</t>
    </r>
    <r>
      <rPr>
        <vertAlign val="subscript"/>
        <sz val="11"/>
        <color theme="1"/>
        <rFont val="Calibri"/>
        <family val="2"/>
        <charset val="238"/>
      </rPr>
      <t>e,ef,sh</t>
    </r>
    <r>
      <rPr>
        <sz val="11"/>
        <color theme="1"/>
        <rFont val="Calibri"/>
        <family val="2"/>
      </rPr>
      <t xml:space="preserve"> =</t>
    </r>
  </si>
  <si>
    <t>Plocha ideálního průřezu:</t>
  </si>
  <si>
    <r>
      <t>A</t>
    </r>
    <r>
      <rPr>
        <vertAlign val="subscript"/>
        <sz val="11"/>
        <color theme="1"/>
        <rFont val="Calibri"/>
        <family val="2"/>
        <charset val="238"/>
      </rPr>
      <t>I,ef,sh</t>
    </r>
    <r>
      <rPr>
        <sz val="11"/>
        <color theme="1"/>
        <rFont val="Calibri"/>
        <family val="2"/>
        <charset val="238"/>
      </rPr>
      <t xml:space="preserve"> = </t>
    </r>
  </si>
  <si>
    <t>Vzdálenost těžiště ideálního průřezu od horního okraje:</t>
  </si>
  <si>
    <r>
      <t>a</t>
    </r>
    <r>
      <rPr>
        <vertAlign val="subscript"/>
        <sz val="11"/>
        <color theme="1"/>
        <rFont val="Calibri"/>
        <family val="2"/>
        <charset val="238"/>
      </rPr>
      <t>I,ef,sh</t>
    </r>
    <r>
      <rPr>
        <sz val="11"/>
        <color theme="1"/>
        <rFont val="Calibri"/>
        <family val="2"/>
        <charset val="238"/>
      </rPr>
      <t xml:space="preserve"> = </t>
    </r>
  </si>
  <si>
    <t>Moment setrvačnosti ideálního průřezu k jeho těžišti:</t>
  </si>
  <si>
    <r>
      <t>I</t>
    </r>
    <r>
      <rPr>
        <vertAlign val="subscript"/>
        <sz val="11"/>
        <color theme="1"/>
        <rFont val="Calibri"/>
        <family val="2"/>
        <charset val="238"/>
      </rPr>
      <t>I,ef,sh</t>
    </r>
    <r>
      <rPr>
        <sz val="11"/>
        <color theme="1"/>
        <rFont val="Calibri"/>
        <family val="2"/>
        <charset val="238"/>
      </rPr>
      <t xml:space="preserve"> = 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</si>
  <si>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</si>
  <si>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t>Statický moment průřezové plochy k těžišti výztuže:</t>
  </si>
  <si>
    <r>
      <t>S</t>
    </r>
    <r>
      <rPr>
        <vertAlign val="subscript"/>
        <sz val="11"/>
        <color theme="1"/>
        <rFont val="Calibri"/>
        <family val="2"/>
        <charset val="238"/>
      </rPr>
      <t>I,ef,sh</t>
    </r>
    <r>
      <rPr>
        <sz val="11"/>
        <color theme="1"/>
        <rFont val="Calibri"/>
        <family val="2"/>
        <charset val="238"/>
      </rPr>
      <t xml:space="preserve"> = 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</si>
  <si>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</si>
  <si>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Vzdálenost neutrální osy od tlačeného okraje:</t>
  </si>
  <si>
    <r>
      <t>x</t>
    </r>
    <r>
      <rPr>
        <vertAlign val="subscript"/>
        <sz val="11"/>
        <color theme="1"/>
        <rFont val="Calibri"/>
        <family val="2"/>
        <charset val="238"/>
      </rPr>
      <t>cr,ef,sh</t>
    </r>
    <r>
      <rPr>
        <sz val="11"/>
        <color theme="1"/>
        <rFont val="Calibri"/>
        <family val="2"/>
        <charset val="238"/>
      </rPr>
      <t xml:space="preserve"> = </t>
    </r>
  </si>
  <si>
    <t>Moment setrvačnosti průřezu s trhlinou k jeho těžišti:</t>
  </si>
  <si>
    <r>
      <t>I</t>
    </r>
    <r>
      <rPr>
        <vertAlign val="subscript"/>
        <sz val="11"/>
        <color theme="1"/>
        <rFont val="Calibri"/>
        <family val="2"/>
        <charset val="238"/>
      </rPr>
      <t>II,ef,sh</t>
    </r>
    <r>
      <rPr>
        <sz val="11"/>
        <color theme="1"/>
        <rFont val="Calibri"/>
        <family val="2"/>
        <charset val="238"/>
      </rPr>
      <t xml:space="preserve"> = </t>
    </r>
  </si>
  <si>
    <r>
      <t>S</t>
    </r>
    <r>
      <rPr>
        <vertAlign val="subscript"/>
        <sz val="11"/>
        <color theme="1"/>
        <rFont val="Calibri"/>
        <family val="2"/>
        <charset val="238"/>
      </rPr>
      <t>II,ef,sh</t>
    </r>
    <r>
      <rPr>
        <sz val="11"/>
        <color theme="1"/>
        <rFont val="Calibri"/>
        <family val="2"/>
        <charset val="238"/>
      </rPr>
      <t xml:space="preserve"> = </t>
    </r>
  </si>
  <si>
    <t>Výsledná křivost od smršťování:</t>
  </si>
  <si>
    <r>
      <t>(1/r)</t>
    </r>
    <r>
      <rPr>
        <vertAlign val="subscript"/>
        <sz val="11"/>
        <color theme="1"/>
        <rFont val="Calibri"/>
        <family val="2"/>
        <charset val="238"/>
      </rPr>
      <t>cs</t>
    </r>
    <r>
      <rPr>
        <sz val="11"/>
        <color theme="1"/>
        <rFont val="Calibri"/>
        <family val="2"/>
        <charset val="238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</si>
  <si>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</si>
  <si>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Průhyb od smršťování:</t>
  </si>
  <si>
    <r>
      <t>w</t>
    </r>
    <r>
      <rPr>
        <vertAlign val="subscript"/>
        <sz val="11"/>
        <color theme="1"/>
        <rFont val="Calibri"/>
        <family val="2"/>
        <charset val="238"/>
      </rPr>
      <t>cs</t>
    </r>
    <r>
      <rPr>
        <sz val="11"/>
        <color theme="1"/>
        <rFont val="Calibri"/>
        <family val="2"/>
        <charset val="238"/>
      </rPr>
      <t xml:space="preserve"> = </t>
    </r>
  </si>
  <si>
    <t>3.2.1.A. Geometrické charakteristiky průřezu bez trhliny:</t>
  </si>
  <si>
    <t>3.2.1.B. Geometrické charakteristiky průřezu s trhlinou:</t>
  </si>
  <si>
    <t>3.2.2.A. Geometrické charakteristiky průřezu bez trhliny:</t>
  </si>
  <si>
    <r>
      <t>A</t>
    </r>
    <r>
      <rPr>
        <vertAlign val="subscript"/>
        <sz val="11"/>
        <color theme="1"/>
        <rFont val="Calibri"/>
        <family val="2"/>
        <charset val="238"/>
      </rPr>
      <t>I,ef</t>
    </r>
    <r>
      <rPr>
        <sz val="11"/>
        <color theme="1"/>
        <rFont val="Calibri"/>
        <family val="2"/>
        <charset val="238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</si>
  <si>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charset val="238"/>
      </rPr>
      <t>I,ef</t>
    </r>
    <r>
      <rPr>
        <sz val="11"/>
        <color theme="1"/>
        <rFont val="Calibri"/>
        <family val="2"/>
        <charset val="238"/>
      </rPr>
      <t xml:space="preserve"> = </t>
    </r>
  </si>
  <si>
    <r>
      <t>I</t>
    </r>
    <r>
      <rPr>
        <vertAlign val="subscript"/>
        <sz val="11"/>
        <color theme="1"/>
        <rFont val="Calibri"/>
        <family val="2"/>
        <charset val="238"/>
      </rPr>
      <t>I,ef</t>
    </r>
    <r>
      <rPr>
        <sz val="11"/>
        <color theme="1"/>
        <rFont val="Calibri"/>
        <family val="2"/>
        <charset val="238"/>
      </rPr>
      <t xml:space="preserve"> = </t>
    </r>
  </si>
  <si>
    <t>Ohybová tuhost:</t>
  </si>
  <si>
    <r>
      <t>E</t>
    </r>
    <r>
      <rPr>
        <vertAlign val="subscript"/>
        <sz val="11"/>
        <color theme="1"/>
        <rFont val="Calibri"/>
        <family val="2"/>
        <charset val="238"/>
      </rPr>
      <t>c,ef</t>
    </r>
    <r>
      <rPr>
        <sz val="11"/>
        <color theme="1"/>
        <rFont val="Calibri"/>
        <family val="2"/>
        <charset val="238"/>
      </rPr>
      <t xml:space="preserve"> . I</t>
    </r>
    <r>
      <rPr>
        <vertAlign val="subscript"/>
        <sz val="11"/>
        <color theme="1"/>
        <rFont val="Calibri"/>
        <family val="2"/>
        <charset val="238"/>
      </rPr>
      <t>I,ef</t>
    </r>
    <r>
      <rPr>
        <sz val="11"/>
        <color theme="1"/>
        <rFont val="Calibri"/>
        <family val="2"/>
        <charset val="238"/>
      </rPr>
      <t xml:space="preserve"> =</t>
    </r>
  </si>
  <si>
    <r>
      <t>MN.m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</si>
  <si>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Ohybová poddajnost: </t>
  </si>
  <si>
    <r>
      <t>C</t>
    </r>
    <r>
      <rPr>
        <vertAlign val="subscript"/>
        <sz val="11"/>
        <color theme="1"/>
        <rFont val="Calibri"/>
        <family val="2"/>
        <charset val="238"/>
      </rPr>
      <t>I,ef</t>
    </r>
    <r>
      <rPr>
        <sz val="11"/>
        <color theme="1"/>
        <rFont val="Calibri"/>
        <family val="2"/>
        <charset val="238"/>
      </rPr>
      <t xml:space="preserve"> = </t>
    </r>
  </si>
  <si>
    <r>
      <t>MN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scheme val="minor"/>
      </rPr>
      <t>.m</t>
    </r>
    <r>
      <rPr>
        <vertAlign val="superscript"/>
        <sz val="11"/>
        <color theme="1"/>
        <rFont val="Calibri"/>
        <family val="2"/>
        <charset val="238"/>
        <scheme val="minor"/>
      </rPr>
      <t>-2</t>
    </r>
  </si>
  <si>
    <t>Ohybový moment při vzniku trhlin:</t>
  </si>
  <si>
    <t>3.2.2.B. Geometrické charakteristiky průřezu s trhlinou:</t>
  </si>
  <si>
    <r>
      <t>x</t>
    </r>
    <r>
      <rPr>
        <vertAlign val="subscript"/>
        <sz val="11"/>
        <color theme="1"/>
        <rFont val="Calibri"/>
        <family val="2"/>
        <charset val="238"/>
      </rPr>
      <t>cr,ef</t>
    </r>
    <r>
      <rPr>
        <sz val="11"/>
        <color theme="1"/>
        <rFont val="Calibri"/>
        <family val="2"/>
        <charset val="238"/>
      </rPr>
      <t xml:space="preserve"> = </t>
    </r>
  </si>
  <si>
    <r>
      <t>I</t>
    </r>
    <r>
      <rPr>
        <vertAlign val="subscript"/>
        <sz val="11"/>
        <color theme="1"/>
        <rFont val="Calibri"/>
        <family val="2"/>
        <charset val="238"/>
      </rPr>
      <t>II,ef</t>
    </r>
    <r>
      <rPr>
        <sz val="11"/>
        <color theme="1"/>
        <rFont val="Calibri"/>
        <family val="2"/>
        <charset val="238"/>
      </rPr>
      <t xml:space="preserve"> = </t>
    </r>
  </si>
  <si>
    <r>
      <t>E</t>
    </r>
    <r>
      <rPr>
        <vertAlign val="subscript"/>
        <sz val="11"/>
        <color theme="1"/>
        <rFont val="Calibri"/>
        <family val="2"/>
        <charset val="238"/>
      </rPr>
      <t>c,ef</t>
    </r>
    <r>
      <rPr>
        <sz val="11"/>
        <color theme="1"/>
        <rFont val="Calibri"/>
        <family val="2"/>
        <charset val="238"/>
      </rPr>
      <t xml:space="preserve"> . I</t>
    </r>
    <r>
      <rPr>
        <vertAlign val="subscript"/>
        <sz val="11"/>
        <color theme="1"/>
        <rFont val="Calibri"/>
        <family val="2"/>
        <charset val="238"/>
      </rPr>
      <t>II,ef</t>
    </r>
    <r>
      <rPr>
        <sz val="11"/>
        <color theme="1"/>
        <rFont val="Calibri"/>
        <family val="2"/>
        <charset val="238"/>
      </rPr>
      <t xml:space="preserve"> =</t>
    </r>
  </si>
  <si>
    <r>
      <t>C</t>
    </r>
    <r>
      <rPr>
        <vertAlign val="subscript"/>
        <sz val="11"/>
        <color theme="1"/>
        <rFont val="Calibri"/>
        <family val="2"/>
        <charset val="238"/>
      </rPr>
      <t>II,ef</t>
    </r>
    <r>
      <rPr>
        <sz val="11"/>
        <color theme="1"/>
        <rFont val="Calibri"/>
        <family val="2"/>
        <charset val="238"/>
      </rPr>
      <t xml:space="preserve"> = </t>
    </r>
  </si>
  <si>
    <t>Výsledná křivost od kvazistálého zatížení:</t>
  </si>
  <si>
    <t>Efektivní modul pružnosti  pro dlouhodobě působící zatížení:</t>
  </si>
  <si>
    <t>Průhyb od kvazisálého zatížení:</t>
  </si>
  <si>
    <t>3.2.1. Průhyb od kvazistálého zatížení:</t>
  </si>
  <si>
    <t>3.2.2. Průhyb od smršťování:</t>
  </si>
  <si>
    <t xml:space="preserve">Posouzení vzniku trhlin od zatížení: </t>
  </si>
  <si>
    <t>3.1. Kritéria průhybu:</t>
  </si>
  <si>
    <t>Hodnota udávající míru spolupůsobení betonu mezi trhlinami:</t>
  </si>
  <si>
    <r>
      <t>(1/r)</t>
    </r>
    <r>
      <rPr>
        <vertAlign val="subscript"/>
        <sz val="11"/>
        <color theme="1"/>
        <rFont val="Calibri"/>
        <family val="2"/>
        <charset val="238"/>
      </rPr>
      <t>g,lt</t>
    </r>
    <r>
      <rPr>
        <sz val="11"/>
        <color theme="1"/>
        <rFont val="Calibri"/>
        <family val="2"/>
        <charset val="238"/>
      </rPr>
      <t xml:space="preserve"> =</t>
    </r>
  </si>
  <si>
    <r>
      <t>w</t>
    </r>
    <r>
      <rPr>
        <vertAlign val="subscript"/>
        <sz val="11"/>
        <color theme="1"/>
        <rFont val="Calibri"/>
        <family val="2"/>
        <charset val="238"/>
      </rPr>
      <t>g,lt</t>
    </r>
    <r>
      <rPr>
        <sz val="11"/>
        <color theme="1"/>
        <rFont val="Calibri"/>
        <family val="2"/>
        <charset val="238"/>
      </rPr>
      <t xml:space="preserve"> = </t>
    </r>
  </si>
  <si>
    <r>
      <t>Celkový průhyb (w</t>
    </r>
    <r>
      <rPr>
        <vertAlign val="subscript"/>
        <sz val="11"/>
        <color theme="1"/>
        <rFont val="Calibri"/>
        <family val="2"/>
        <charset val="238"/>
        <scheme val="minor"/>
      </rPr>
      <t>lt</t>
    </r>
    <r>
      <rPr>
        <sz val="11"/>
        <color theme="1"/>
        <rFont val="Calibri"/>
        <family val="2"/>
        <scheme val="minor"/>
      </rPr>
      <t xml:space="preserve"> = w</t>
    </r>
    <r>
      <rPr>
        <vertAlign val="subscript"/>
        <sz val="11"/>
        <color theme="1"/>
        <rFont val="Calibri"/>
        <family val="2"/>
        <charset val="238"/>
        <scheme val="minor"/>
      </rPr>
      <t>g,lt</t>
    </r>
    <r>
      <rPr>
        <sz val="11"/>
        <color theme="1"/>
        <rFont val="Calibri"/>
        <family val="2"/>
        <scheme val="minor"/>
      </rPr>
      <t xml:space="preserve"> + w</t>
    </r>
    <r>
      <rPr>
        <vertAlign val="subscript"/>
        <sz val="11"/>
        <color theme="1"/>
        <rFont val="Calibri"/>
        <family val="2"/>
        <charset val="238"/>
        <scheme val="minor"/>
      </rPr>
      <t>cs</t>
    </r>
    <r>
      <rPr>
        <sz val="11"/>
        <color theme="1"/>
        <rFont val="Calibri"/>
        <family val="2"/>
        <scheme val="minor"/>
      </rPr>
      <t>):</t>
    </r>
  </si>
  <si>
    <r>
      <t>w</t>
    </r>
    <r>
      <rPr>
        <vertAlign val="subscript"/>
        <sz val="11"/>
        <color theme="1"/>
        <rFont val="Calibri"/>
        <family val="2"/>
        <charset val="238"/>
      </rPr>
      <t>lt</t>
    </r>
    <r>
      <rPr>
        <sz val="11"/>
        <color theme="1"/>
        <rFont val="Calibri"/>
        <family val="2"/>
        <charset val="238"/>
      </rPr>
      <t xml:space="preserve"> = </t>
    </r>
  </si>
  <si>
    <t>Limitní hodnota průhybu pro dlouhodobý účinek:</t>
  </si>
  <si>
    <t>4. Výsledky:</t>
  </si>
  <si>
    <t>5. Posouzení:</t>
  </si>
  <si>
    <t>&lt;</t>
  </si>
  <si>
    <r>
      <rPr>
        <sz val="11"/>
        <color rgb="FF222222"/>
        <rFont val="Calibri"/>
        <family val="2"/>
        <charset val="238"/>
        <scheme val="minor"/>
      </rPr>
      <t xml:space="preserve">ζ </t>
    </r>
    <r>
      <rPr>
        <vertAlign val="subscript"/>
        <sz val="11"/>
        <color rgb="FF222222"/>
        <rFont val="Calibri"/>
        <family val="2"/>
        <charset val="238"/>
        <scheme val="minor"/>
      </rPr>
      <t>qp,ef</t>
    </r>
    <r>
      <rPr>
        <sz val="11"/>
        <color rgb="FF222222"/>
        <rFont val="Calibri"/>
        <family val="2"/>
        <charset val="238"/>
        <scheme val="minor"/>
      </rPr>
      <t xml:space="preserve"> </t>
    </r>
    <r>
      <rPr>
        <b/>
        <sz val="11"/>
        <color rgb="FF222222"/>
        <rFont val="Calibri"/>
        <family val="2"/>
        <charset val="238"/>
        <scheme val="minor"/>
      </rPr>
      <t>=</t>
    </r>
  </si>
  <si>
    <t>konecná zéta:</t>
  </si>
  <si>
    <t>Trhliny nevzniknou při kvazistálé kombinaci zatížení.</t>
  </si>
  <si>
    <r>
      <t>M [kN.m]</t>
    </r>
    <r>
      <rPr>
        <sz val="11"/>
        <color theme="1"/>
        <rFont val="Calibri"/>
        <family val="2"/>
        <scheme val="minor"/>
      </rPr>
      <t>: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</si>
  <si>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scheme val="minor"/>
      </rPr>
      <t>[kN.m]:</t>
    </r>
  </si>
  <si>
    <t>Trhliny nevzniknou při časté kombinaci zatížení.</t>
  </si>
  <si>
    <t>Trhliny nevzniknou při charakteristické kombinaci zatížení.</t>
  </si>
  <si>
    <r>
      <t>ε</t>
    </r>
    <r>
      <rPr>
        <vertAlign val="subscript"/>
        <sz val="11"/>
        <color theme="1"/>
        <rFont val="Calibri"/>
        <family val="2"/>
        <charset val="238"/>
      </rPr>
      <t>cs</t>
    </r>
    <r>
      <rPr>
        <sz val="11"/>
        <color theme="1"/>
        <rFont val="Calibri"/>
        <family val="2"/>
      </rPr>
      <t xml:space="preserve"> = </t>
    </r>
  </si>
  <si>
    <t>Celkové poměrné smršťování</t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</si>
  <si>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lt </t>
    </r>
    <r>
      <rPr>
        <sz val="11"/>
        <color theme="1"/>
        <rFont val="Calibri"/>
        <family val="2"/>
        <charset val="238"/>
        <scheme val="minor"/>
      </rPr>
      <t>[mm]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</si>
  <si>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lim,lt </t>
    </r>
    <r>
      <rPr>
        <sz val="11"/>
        <color theme="1"/>
        <rFont val="Calibri"/>
        <family val="2"/>
        <charset val="238"/>
        <scheme val="minor"/>
      </rPr>
      <t>[mm]</t>
    </r>
  </si>
  <si>
    <t>Stálé charakteristické spojité zatížení:</t>
  </si>
  <si>
    <t>Užitné charakteristické spojité zatížení:</t>
  </si>
  <si>
    <t>str.1</t>
  </si>
  <si>
    <t>str.2</t>
  </si>
  <si>
    <t>str.3</t>
  </si>
  <si>
    <t>str.4</t>
  </si>
  <si>
    <t>Geometrické charakteristiky průřezu bez trhliny:</t>
  </si>
  <si>
    <t>V PRŮŘEZU NEVZNIKAJÍ TRHLINY.</t>
  </si>
  <si>
    <t xml:space="preserve">as(min) = </t>
  </si>
  <si>
    <t>as(uzivat)</t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</si>
  <si>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lim</t>
    </r>
  </si>
  <si>
    <t>Kontrola vstupu</t>
  </si>
  <si>
    <t>modul pruznosti betonu</t>
  </si>
  <si>
    <t>modul pruznosti oceli</t>
  </si>
  <si>
    <t>delka nosniku</t>
  </si>
  <si>
    <t>vyska nosniku</t>
  </si>
  <si>
    <t>sirka nosniku</t>
  </si>
  <si>
    <t>g</t>
  </si>
  <si>
    <t>q</t>
  </si>
  <si>
    <t>prumer vyztuze</t>
  </si>
  <si>
    <t>počet vyztuze</t>
  </si>
  <si>
    <t>trminky</t>
  </si>
  <si>
    <t>kryti</t>
  </si>
  <si>
    <t>t0</t>
  </si>
  <si>
    <t>t0,sh</t>
  </si>
  <si>
    <t>cement</t>
  </si>
  <si>
    <t>teplota vetsi nez 80</t>
  </si>
  <si>
    <t>teplota mensi nez 0</t>
  </si>
  <si>
    <t>RH mensi nez 0</t>
  </si>
  <si>
    <t>RH vetsi nez 100</t>
  </si>
  <si>
    <t>&gt;</t>
  </si>
  <si>
    <t>pruhyb bez trhlin</t>
  </si>
  <si>
    <t>pruhyb s trhlinama</t>
  </si>
  <si>
    <t>0,45</t>
  </si>
  <si>
    <t>0,25</t>
  </si>
  <si>
    <r>
      <t>Pracovní součinitel (poměr E</t>
    </r>
    <r>
      <rPr>
        <vertAlign val="subscript"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scheme val="minor"/>
      </rPr>
      <t>/E</t>
    </r>
    <r>
      <rPr>
        <vertAlign val="subscript"/>
        <sz val="11"/>
        <color theme="1"/>
        <rFont val="Calibri"/>
        <family val="2"/>
        <charset val="238"/>
        <scheme val="minor"/>
      </rPr>
      <t>c,ef,sh</t>
    </r>
    <r>
      <rPr>
        <sz val="11"/>
        <color theme="1"/>
        <rFont val="Calibri"/>
        <family val="2"/>
        <scheme val="minor"/>
      </rPr>
      <t>)</t>
    </r>
  </si>
  <si>
    <t>Šířka průřezu:</t>
  </si>
  <si>
    <t>pevnost v tahu betonu</t>
  </si>
  <si>
    <t>Střední hodnota pevnosti betonu v tahu: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</si>
  <si>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ctm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</si>
  <si>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charset val="238"/>
      </rPr>
      <t>cr</t>
    </r>
    <r>
      <rPr>
        <sz val="11"/>
        <color theme="1"/>
        <rFont val="Calibri"/>
        <family val="2"/>
        <charset val="238"/>
      </rPr>
      <t xml:space="preserve"> = </t>
    </r>
  </si>
  <si>
    <r>
      <t>Po vybetonování se beton ošetřuje po dobu (0,t</t>
    </r>
    <r>
      <rPr>
        <vertAlign val="subscript"/>
        <sz val="11"/>
        <color theme="1"/>
        <rFont val="Calibri"/>
        <family val="2"/>
        <charset val="238"/>
        <scheme val="minor"/>
      </rPr>
      <t>sh</t>
    </r>
    <r>
      <rPr>
        <sz val="11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>:</t>
    </r>
  </si>
  <si>
    <t>Trhliny vzniknou při charakteristické kombinaci zatížení.</t>
  </si>
  <si>
    <t>Trhliny vzniknou při časté kombinaci zatížení.</t>
  </si>
  <si>
    <t>VYHOVUJE</t>
  </si>
  <si>
    <t>PRŮHYB VYHOVUJE</t>
  </si>
  <si>
    <t>ANO, VZNIKNOU  (Mcr,ef &lt; Me,qp)</t>
  </si>
  <si>
    <t>kvuli kvazi</t>
  </si>
  <si>
    <t>Trhliny vzniknou při kvazistálé kombinaci zatížení.</t>
  </si>
  <si>
    <t>2. Součinitel dotvarování pro zatížení:</t>
  </si>
  <si>
    <t>Výpočet součinitele dotvarování dle ČSN EN 1992-1-1</t>
  </si>
  <si>
    <t xml:space="preserve">Součinitel, vystihující vliv relativní vlhkosti na základní </t>
  </si>
  <si>
    <t>součinitel dotvarování:</t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</si>
  <si>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RH</t>
    </r>
    <r>
      <rPr>
        <sz val="11"/>
        <color theme="1"/>
        <rFont val="Calibri"/>
        <family val="2"/>
        <scheme val="minor"/>
      </rPr>
      <t xml:space="preserve"> = </t>
    </r>
  </si>
  <si>
    <t>vnesení zatížení na základní součinitel dotvarování:</t>
  </si>
  <si>
    <t xml:space="preserve">Součinitel, vystihující vliv stáří betonu v okamžiku </t>
  </si>
  <si>
    <r>
      <t xml:space="preserve"> β</t>
    </r>
    <r>
      <rPr>
        <vertAlign val="subscript"/>
        <sz val="11"/>
        <color theme="1"/>
        <rFont val="Calibri"/>
        <family val="2"/>
        <charset val="238"/>
        <scheme val="minor"/>
      </rPr>
      <t>(fcm)</t>
    </r>
    <r>
      <rPr>
        <sz val="11"/>
        <color theme="1"/>
        <rFont val="Calibri"/>
        <family val="2"/>
        <scheme val="minor"/>
      </rPr>
      <t xml:space="preserve"> =</t>
    </r>
  </si>
  <si>
    <r>
      <t>β</t>
    </r>
    <r>
      <rPr>
        <vertAlign val="subscript"/>
        <sz val="11"/>
        <color theme="1"/>
        <rFont val="Calibri"/>
        <family val="2"/>
        <charset val="238"/>
        <scheme val="minor"/>
      </rPr>
      <t>(t0)</t>
    </r>
    <r>
      <rPr>
        <sz val="11"/>
        <color theme="1"/>
        <rFont val="Calibri"/>
        <family val="2"/>
        <scheme val="minor"/>
      </rPr>
      <t xml:space="preserve"> =</t>
    </r>
  </si>
  <si>
    <t>Základní součinitel dotvarování :</t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</si>
  <si>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= ϕ</t>
    </r>
    <r>
      <rPr>
        <vertAlign val="subscript"/>
        <sz val="11"/>
        <color theme="1"/>
        <rFont val="Calibri"/>
        <family val="2"/>
        <charset val="238"/>
        <scheme val="minor"/>
      </rPr>
      <t>RH</t>
    </r>
    <r>
      <rPr>
        <sz val="11"/>
        <color theme="1"/>
        <rFont val="Calibri"/>
        <family val="2"/>
        <scheme val="minor"/>
      </rPr>
      <t xml:space="preserve"> . β</t>
    </r>
    <r>
      <rPr>
        <vertAlign val="subscript"/>
        <sz val="11"/>
        <color theme="1"/>
        <rFont val="Calibri"/>
        <family val="2"/>
        <charset val="238"/>
        <scheme val="minor"/>
      </rPr>
      <t>(fcm)</t>
    </r>
    <r>
      <rPr>
        <sz val="11"/>
        <color theme="1"/>
        <rFont val="Calibri"/>
        <family val="2"/>
        <scheme val="minor"/>
      </rPr>
      <t xml:space="preserve"> . β</t>
    </r>
    <r>
      <rPr>
        <vertAlign val="subscript"/>
        <sz val="11"/>
        <color theme="1"/>
        <rFont val="Calibri"/>
        <family val="2"/>
        <charset val="238"/>
        <scheme val="minor"/>
      </rPr>
      <t>(t0)</t>
    </r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</si>
  <si>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</si>
  <si>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Konec zatěžování konstrukce:</t>
  </si>
  <si>
    <t>t =</t>
  </si>
  <si>
    <t>ꚙ</t>
  </si>
  <si>
    <t>Součinitel časového průběhu dotvarování po zatížení:</t>
  </si>
  <si>
    <r>
      <t xml:space="preserve">(pro t = </t>
    </r>
    <r>
      <rPr>
        <sz val="11"/>
        <color theme="1"/>
        <rFont val="Calibri"/>
        <family val="2"/>
        <charset val="238"/>
      </rPr>
      <t>ꚙ</t>
    </r>
    <r>
      <rPr>
        <sz val="11"/>
        <color theme="1"/>
        <rFont val="Calibri"/>
        <family val="2"/>
      </rPr>
      <t xml:space="preserve"> dní)</t>
    </r>
  </si>
  <si>
    <r>
      <t>β</t>
    </r>
    <r>
      <rPr>
        <vertAlign val="subscript"/>
        <sz val="11"/>
        <color theme="1"/>
        <rFont val="Calibri"/>
        <family val="2"/>
        <charset val="238"/>
        <scheme val="minor"/>
      </rPr>
      <t>c(t,t0)</t>
    </r>
    <r>
      <rPr>
        <sz val="11"/>
        <color theme="1"/>
        <rFont val="Calibri"/>
        <family val="2"/>
        <scheme val="minor"/>
      </rPr>
      <t xml:space="preserve"> =</t>
    </r>
  </si>
  <si>
    <t>Součinitel dotvarování:</t>
  </si>
  <si>
    <t>konec zatěžování konstrukce</t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</si>
  <si>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scheme val="minor"/>
      </rPr>
      <t xml:space="preserve"> = ϕ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. β</t>
    </r>
    <r>
      <rPr>
        <vertAlign val="subscript"/>
        <sz val="11"/>
        <color theme="1"/>
        <rFont val="Calibri"/>
        <family val="2"/>
        <charset val="238"/>
        <scheme val="minor"/>
      </rPr>
      <t>c(t,t0)</t>
    </r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</si>
  <si>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c,sh</t>
    </r>
    <r>
      <rPr>
        <sz val="11"/>
        <color theme="1"/>
        <rFont val="Calibri"/>
        <family val="2"/>
        <scheme val="minor"/>
      </rPr>
      <t xml:space="preserve"> = ϕ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 xml:space="preserve"> . β</t>
    </r>
    <r>
      <rPr>
        <vertAlign val="subscript"/>
        <sz val="11"/>
        <color theme="1"/>
        <rFont val="Calibri"/>
        <family val="2"/>
        <charset val="238"/>
        <scheme val="minor"/>
      </rPr>
      <t>c(t,t0)</t>
    </r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</si>
  <si>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c,sh</t>
    </r>
    <r>
      <rPr>
        <sz val="11"/>
        <color theme="1"/>
        <rFont val="Calibri"/>
        <family val="2"/>
        <scheme val="minor"/>
      </rPr>
      <t xml:space="preserve"> =</t>
    </r>
  </si>
  <si>
    <r>
      <t>ϕ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</si>
  <si>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t>3. Součinitel dotvarování pro smršťování:</t>
  </si>
  <si>
    <t>20,04</t>
  </si>
  <si>
    <t>Součinitel, vystihující vliv pevnosti betonu</t>
  </si>
  <si>
    <t>na základní součinitel dotvarování: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</si>
</sst>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0000"/>
    <numFmt numFmtId="166" formatCode="0.000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sz val="11"/>
      <color theme="7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222222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vertAlign val="subscript"/>
      <sz val="11"/>
      <color rgb="FF22222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 applyFill="1"/>
    <xf numFmtId="0" fontId="10" fillId="0" borderId="0" xfId="0" applyFont="1"/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/>
    <xf numFmtId="0" fontId="13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2" xfId="0" applyBorder="1"/>
    <xf numFmtId="0" fontId="11" fillId="0" borderId="0" xfId="0" applyFont="1"/>
    <xf numFmtId="0" fontId="0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0" xfId="0" applyBorder="1"/>
    <xf numFmtId="0" fontId="17" fillId="0" borderId="0" xfId="0" applyFont="1"/>
    <xf numFmtId="0" fontId="6" fillId="0" borderId="4" xfId="0" applyFont="1" applyBorder="1"/>
    <xf numFmtId="0" fontId="19" fillId="0" borderId="0" xfId="0" applyFont="1"/>
    <xf numFmtId="0" fontId="0" fillId="0" borderId="5" xfId="0" applyBorder="1"/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1" fillId="0" borderId="0" xfId="0" applyFont="1"/>
    <xf numFmtId="0" fontId="16" fillId="0" borderId="6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" fillId="0" borderId="9" xfId="0" applyFont="1" applyBorder="1"/>
    <xf numFmtId="1" fontId="0" fillId="0" borderId="0" xfId="0" applyNumberFormat="1"/>
    <xf numFmtId="0" fontId="0" fillId="0" borderId="1" xfId="0" applyBorder="1"/>
    <xf numFmtId="0" fontId="0" fillId="0" borderId="16" xfId="0" applyBorder="1"/>
    <xf numFmtId="0" fontId="2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2" fillId="0" borderId="0" xfId="0" applyFont="1"/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NumberFormat="1" applyBorder="1"/>
    <xf numFmtId="0" fontId="4" fillId="0" borderId="0" xfId="0" applyFont="1" applyBorder="1"/>
    <xf numFmtId="2" fontId="0" fillId="0" borderId="0" xfId="0" applyNumberFormat="1" applyBorder="1"/>
    <xf numFmtId="0" fontId="24" fillId="0" borderId="0" xfId="0" applyFont="1"/>
    <xf numFmtId="0" fontId="0" fillId="0" borderId="1" xfId="0" applyBorder="1" applyAlignment="1">
      <alignment horizontal="left"/>
    </xf>
    <xf numFmtId="0" fontId="27" fillId="0" borderId="0" xfId="0" applyFont="1"/>
    <xf numFmtId="0" fontId="0" fillId="0" borderId="18" xfId="0" applyBorder="1"/>
    <xf numFmtId="0" fontId="0" fillId="0" borderId="19" xfId="0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/>
    <xf numFmtId="0" fontId="0" fillId="0" borderId="0" xfId="0" applyFont="1" applyAlignment="1">
      <alignment horizontal="center"/>
    </xf>
    <xf numFmtId="166" fontId="0" fillId="0" borderId="0" xfId="0" applyNumberFormat="1"/>
    <xf numFmtId="166" fontId="12" fillId="0" borderId="0" xfId="0" applyNumberFormat="1" applyFont="1"/>
    <xf numFmtId="167" fontId="0" fillId="0" borderId="0" xfId="0" applyNumberFormat="1"/>
    <xf numFmtId="2" fontId="0" fillId="0" borderId="0" xfId="0" applyNumberFormat="1" applyAlignment="1">
      <alignment horizontal="right"/>
    </xf>
    <xf numFmtId="0" fontId="0" fillId="0" borderId="17" xfId="0" applyNumberFormat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7" fontId="0" fillId="0" borderId="15" xfId="0" applyNumberFormat="1" applyBorder="1"/>
    <xf numFmtId="167" fontId="0" fillId="0" borderId="0" xfId="0" applyNumberFormat="1" applyAlignment="1">
      <alignment horizontal="left"/>
    </xf>
    <xf numFmtId="2" fontId="0" fillId="0" borderId="2" xfId="0" applyNumberFormat="1" applyBorder="1"/>
    <xf numFmtId="0" fontId="28" fillId="0" borderId="0" xfId="0" applyFont="1"/>
    <xf numFmtId="2" fontId="12" fillId="0" borderId="0" xfId="0" applyNumberFormat="1" applyFont="1"/>
    <xf numFmtId="0" fontId="0" fillId="0" borderId="0" xfId="0" applyFill="1" applyBorder="1"/>
    <xf numFmtId="0" fontId="22" fillId="0" borderId="0" xfId="0" applyFont="1" applyFill="1" applyBorder="1"/>
    <xf numFmtId="2" fontId="0" fillId="0" borderId="0" xfId="0" applyNumberFormat="1" applyFill="1" applyBorder="1"/>
    <xf numFmtId="0" fontId="4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/>
    <xf numFmtId="166" fontId="1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4" fillId="0" borderId="0" xfId="0" applyFont="1" applyFill="1" applyBorder="1"/>
    <xf numFmtId="2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/>
    <xf numFmtId="0" fontId="4" fillId="0" borderId="0" xfId="0" applyFont="1" applyAlignment="1">
      <alignment horizontal="right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16</xdr:row>
          <xdr:rowOff>19050</xdr:rowOff>
        </xdr:from>
        <xdr:to>
          <xdr:col>7</xdr:col>
          <xdr:colOff>228600</xdr:colOff>
          <xdr:row>19</xdr:row>
          <xdr:rowOff>95250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11</xdr:col>
      <xdr:colOff>537634</xdr:colOff>
      <xdr:row>16</xdr:row>
      <xdr:rowOff>10018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5767" cy="2922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57150</xdr:rowOff>
        </xdr:from>
        <xdr:to>
          <xdr:col>2</xdr:col>
          <xdr:colOff>914400</xdr:colOff>
          <xdr:row>1</xdr:row>
          <xdr:rowOff>142875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0</xdr:row>
          <xdr:rowOff>66675</xdr:rowOff>
        </xdr:from>
        <xdr:to>
          <xdr:col>2</xdr:col>
          <xdr:colOff>1038225</xdr:colOff>
          <xdr:row>0</xdr:row>
          <xdr:rowOff>342900</xdr:rowOff>
        </xdr:to>
        <xdr:sp macro="" textlink="">
          <xdr:nvSpPr>
            <xdr:cNvPr id="5122" name="combutt_protokol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0</xdr:row>
          <xdr:rowOff>66675</xdr:rowOff>
        </xdr:from>
        <xdr:to>
          <xdr:col>2</xdr:col>
          <xdr:colOff>2095500</xdr:colOff>
          <xdr:row>0</xdr:row>
          <xdr:rowOff>342900</xdr:rowOff>
        </xdr:to>
        <xdr:sp macro="" textlink="">
          <xdr:nvSpPr>
            <xdr:cNvPr id="5126" name="Combutt_protokol3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133350</xdr:colOff>
      <xdr:row>1</xdr:row>
      <xdr:rowOff>24112</xdr:rowOff>
    </xdr:from>
    <xdr:to>
      <xdr:col>5</xdr:col>
      <xdr:colOff>704851</xdr:colOff>
      <xdr:row>8</xdr:row>
      <xdr:rowOff>171427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405112"/>
          <a:ext cx="1181101" cy="12807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2133600</xdr:colOff>
          <xdr:row>0</xdr:row>
          <xdr:rowOff>66675</xdr:rowOff>
        </xdr:from>
        <xdr:to>
          <xdr:col>2</xdr:col>
          <xdr:colOff>3152775</xdr:colOff>
          <xdr:row>0</xdr:row>
          <xdr:rowOff>342900</xdr:rowOff>
        </xdr:to>
        <xdr:sp macro="" textlink="">
          <xdr:nvSpPr>
            <xdr:cNvPr id="5127" name="combutt_protokol5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28575</xdr:rowOff>
    </xdr:from>
    <xdr:to>
      <xdr:col>5</xdr:col>
      <xdr:colOff>685801</xdr:colOff>
      <xdr:row>8</xdr:row>
      <xdr:rowOff>175890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409575"/>
          <a:ext cx="1181101" cy="12807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66675</xdr:rowOff>
        </xdr:from>
        <xdr:to>
          <xdr:col>2</xdr:col>
          <xdr:colOff>1104900</xdr:colOff>
          <xdr:row>0</xdr:row>
          <xdr:rowOff>342900</xdr:rowOff>
        </xdr:to>
        <xdr:sp macro="" textlink="">
          <xdr:nvSpPr>
            <xdr:cNvPr id="7169" name="Combutt_protokol2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0</xdr:row>
          <xdr:rowOff>66675</xdr:rowOff>
        </xdr:from>
        <xdr:to>
          <xdr:col>2</xdr:col>
          <xdr:colOff>2162175</xdr:colOff>
          <xdr:row>0</xdr:row>
          <xdr:rowOff>342900</xdr:rowOff>
        </xdr:to>
        <xdr:sp macro="" textlink="">
          <xdr:nvSpPr>
            <xdr:cNvPr id="7170" name="Combutt_protokol4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2200275</xdr:colOff>
          <xdr:row>0</xdr:row>
          <xdr:rowOff>66675</xdr:rowOff>
        </xdr:from>
        <xdr:to>
          <xdr:col>2</xdr:col>
          <xdr:colOff>3219450</xdr:colOff>
          <xdr:row>0</xdr:row>
          <xdr:rowOff>342900</xdr:rowOff>
        </xdr:to>
        <xdr:sp macro="" textlink="">
          <xdr:nvSpPr>
            <xdr:cNvPr id="7172" name="Combutt_protokol6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</xdr:row>
          <xdr:rowOff>171450</xdr:rowOff>
        </xdr:from>
        <xdr:to>
          <xdr:col>15</xdr:col>
          <xdr:colOff>523875</xdr:colOff>
          <xdr:row>11</xdr:row>
          <xdr:rowOff>9525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Relationship Id="rId9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7.xml"/><Relationship Id="rId5" Type="http://schemas.openxmlformats.org/officeDocument/2006/relationships/image" Target="../media/image8.emf"/><Relationship Id="rId4" Type="http://schemas.openxmlformats.org/officeDocument/2006/relationships/control" Target="../activeX/activeX6.xml"/><Relationship Id="rId9" Type="http://schemas.openxmlformats.org/officeDocument/2006/relationships/image" Target="../media/image10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1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D267"/>
  <sheetViews>
    <sheetView showGridLines="0" showRowColHeaders="0" tabSelected="1" zoomScaleNormal="100" workbookViewId="0">
      <selection activeCell="P23" sqref="P23"/>
    </sheetView>
  </sheetViews>
  <sheetFormatPr defaultRowHeight="15" x14ac:dyDescent="0.25"/>
  <sheetData>
    <row r="1" spans="1:3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1:30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0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30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30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utoPict="0" r:id="rId5">
            <anchor moveWithCells="1">
              <from>
                <xdr:col>4</xdr:col>
                <xdr:colOff>323850</xdr:colOff>
                <xdr:row>16</xdr:row>
                <xdr:rowOff>19050</xdr:rowOff>
              </from>
              <to>
                <xdr:col>7</xdr:col>
                <xdr:colOff>228600</xdr:colOff>
                <xdr:row>19</xdr:row>
                <xdr:rowOff>95250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F238"/>
  <sheetViews>
    <sheetView showGridLines="0" showRuler="0" view="pageLayout" zoomScaleNormal="100" workbookViewId="0">
      <selection activeCell="F15" sqref="F15"/>
    </sheetView>
  </sheetViews>
  <sheetFormatPr defaultColWidth="9.140625" defaultRowHeight="15" x14ac:dyDescent="0.25"/>
  <cols>
    <col min="1" max="1" width="8.7109375" customWidth="1"/>
    <col min="2" max="2" width="2.7109375" customWidth="1"/>
    <col min="3" max="3" width="45.5703125" customWidth="1"/>
  </cols>
  <sheetData>
    <row r="1" spans="1:6" x14ac:dyDescent="0.25">
      <c r="A1" s="22"/>
    </row>
    <row r="2" spans="1:6" x14ac:dyDescent="0.25">
      <c r="A2" s="22"/>
    </row>
    <row r="3" spans="1:6" x14ac:dyDescent="0.25">
      <c r="A3" s="47"/>
      <c r="C3" s="52" t="s">
        <v>428</v>
      </c>
      <c r="D3" s="70"/>
      <c r="E3" s="70"/>
      <c r="F3" s="70"/>
    </row>
    <row r="4" spans="1:6" x14ac:dyDescent="0.25">
      <c r="A4" s="47"/>
      <c r="D4" s="22"/>
      <c r="E4" s="22"/>
      <c r="F4" s="22"/>
    </row>
    <row r="5" spans="1:6" x14ac:dyDescent="0.25">
      <c r="A5" s="47"/>
      <c r="C5" s="50" t="s">
        <v>251</v>
      </c>
      <c r="D5" s="22"/>
      <c r="E5" s="22"/>
      <c r="F5" s="22"/>
    </row>
    <row r="6" spans="1:6" x14ac:dyDescent="0.25">
      <c r="A6" s="47"/>
      <c r="D6" s="22"/>
      <c r="E6" s="22"/>
      <c r="F6" s="22"/>
    </row>
    <row r="7" spans="1:6" ht="18" x14ac:dyDescent="0.35">
      <c r="A7" s="47"/>
      <c r="C7" t="s">
        <v>298</v>
      </c>
      <c r="D7" t="s">
        <v>299</v>
      </c>
      <c r="E7">
        <v>0.16070000000000001</v>
      </c>
      <c r="F7" t="s">
        <v>21</v>
      </c>
    </row>
    <row r="8" spans="1:6" x14ac:dyDescent="0.25">
      <c r="A8" s="47"/>
      <c r="C8" t="s">
        <v>248</v>
      </c>
      <c r="D8" s="18"/>
      <c r="E8" s="62" t="s">
        <v>131</v>
      </c>
      <c r="F8" s="22"/>
    </row>
    <row r="9" spans="1:6" ht="18" x14ac:dyDescent="0.35">
      <c r="A9" s="47"/>
      <c r="C9" t="s">
        <v>240</v>
      </c>
      <c r="D9" t="s">
        <v>241</v>
      </c>
      <c r="E9" s="62">
        <v>28</v>
      </c>
      <c r="F9" t="s">
        <v>66</v>
      </c>
    </row>
    <row r="10" spans="1:6" ht="18" x14ac:dyDescent="0.35">
      <c r="A10" s="47"/>
      <c r="C10" t="s">
        <v>419</v>
      </c>
      <c r="D10" t="s">
        <v>247</v>
      </c>
      <c r="E10" s="62">
        <v>7</v>
      </c>
      <c r="F10" t="s">
        <v>66</v>
      </c>
    </row>
    <row r="11" spans="1:6" x14ac:dyDescent="0.25">
      <c r="A11" s="47"/>
      <c r="C11" t="s">
        <v>439</v>
      </c>
      <c r="D11" t="s">
        <v>440</v>
      </c>
      <c r="E11" s="93" t="s">
        <v>441</v>
      </c>
      <c r="F11" t="s">
        <v>66</v>
      </c>
    </row>
    <row r="12" spans="1:6" x14ac:dyDescent="0.25">
      <c r="A12" s="47"/>
      <c r="C12" t="s">
        <v>249</v>
      </c>
      <c r="D12" t="s">
        <v>250</v>
      </c>
      <c r="E12" s="62">
        <v>20</v>
      </c>
      <c r="F12" t="s">
        <v>216</v>
      </c>
    </row>
    <row r="13" spans="1:6" x14ac:dyDescent="0.25">
      <c r="A13" s="47"/>
      <c r="C13" t="s">
        <v>239</v>
      </c>
      <c r="D13" t="s">
        <v>36</v>
      </c>
      <c r="E13" s="62">
        <v>40</v>
      </c>
      <c r="F13" t="s">
        <v>37</v>
      </c>
    </row>
    <row r="14" spans="1:6" x14ac:dyDescent="0.25">
      <c r="A14" s="47"/>
      <c r="D14" s="18"/>
      <c r="E14" s="62"/>
    </row>
    <row r="15" spans="1:6" x14ac:dyDescent="0.25">
      <c r="A15" s="47"/>
      <c r="C15" s="50" t="s">
        <v>427</v>
      </c>
      <c r="E15" s="62"/>
    </row>
    <row r="16" spans="1:6" x14ac:dyDescent="0.25">
      <c r="A16" s="47"/>
      <c r="D16" s="18"/>
      <c r="E16" s="62"/>
    </row>
    <row r="17" spans="1:6" x14ac:dyDescent="0.25">
      <c r="A17" s="47"/>
      <c r="C17" t="s">
        <v>429</v>
      </c>
      <c r="E17" s="62"/>
    </row>
    <row r="18" spans="1:6" ht="18" x14ac:dyDescent="0.35">
      <c r="A18" s="47"/>
      <c r="C18" t="s">
        <v>430</v>
      </c>
      <c r="D18" s="42" t="s">
        <v>431</v>
      </c>
      <c r="E18" s="62">
        <v>2.1035696705524485</v>
      </c>
      <c r="F18" t="s">
        <v>84</v>
      </c>
    </row>
    <row r="19" spans="1:6" x14ac:dyDescent="0.25">
      <c r="A19" s="47"/>
      <c r="C19" t="s">
        <v>453</v>
      </c>
      <c r="D19" s="42"/>
      <c r="E19" s="62"/>
    </row>
    <row r="20" spans="1:6" ht="18" x14ac:dyDescent="0.35">
      <c r="A20" s="47"/>
      <c r="C20" t="s">
        <v>454</v>
      </c>
      <c r="D20" s="42" t="s">
        <v>434</v>
      </c>
      <c r="E20" s="62">
        <v>3.1749015732775088</v>
      </c>
      <c r="F20" t="s">
        <v>84</v>
      </c>
    </row>
    <row r="21" spans="1:6" x14ac:dyDescent="0.25">
      <c r="A21" s="47"/>
      <c r="C21" t="s">
        <v>433</v>
      </c>
      <c r="E21" s="62"/>
    </row>
    <row r="22" spans="1:6" ht="18" x14ac:dyDescent="0.35">
      <c r="A22" s="47"/>
      <c r="C22" t="s">
        <v>432</v>
      </c>
      <c r="D22" t="s">
        <v>435</v>
      </c>
      <c r="E22" s="62">
        <v>0.48844954537902541</v>
      </c>
      <c r="F22" t="s">
        <v>84</v>
      </c>
    </row>
    <row r="23" spans="1:6" x14ac:dyDescent="0.25">
      <c r="A23" s="47"/>
      <c r="C23" t="s">
        <v>436</v>
      </c>
      <c r="E23" s="62"/>
    </row>
    <row r="24" spans="1:6" ht="18" x14ac:dyDescent="0.35">
      <c r="A24" s="47"/>
      <c r="C24" t="s">
        <v>437</v>
      </c>
      <c r="D24" t="s">
        <v>438</v>
      </c>
      <c r="E24" s="62">
        <v>3.2621721541411617</v>
      </c>
      <c r="F24" t="s">
        <v>84</v>
      </c>
    </row>
    <row r="25" spans="1:6" x14ac:dyDescent="0.25">
      <c r="A25" s="47"/>
      <c r="C25" t="s">
        <v>442</v>
      </c>
      <c r="E25" s="62"/>
    </row>
    <row r="26" spans="1:6" ht="18" x14ac:dyDescent="0.35">
      <c r="A26" s="47"/>
      <c r="C26" t="s">
        <v>443</v>
      </c>
      <c r="D26" t="s">
        <v>444</v>
      </c>
      <c r="E26" s="94">
        <v>1</v>
      </c>
      <c r="F26" t="s">
        <v>84</v>
      </c>
    </row>
    <row r="27" spans="1:6" x14ac:dyDescent="0.25">
      <c r="A27" s="47"/>
      <c r="C27" t="s">
        <v>445</v>
      </c>
    </row>
    <row r="28" spans="1:6" ht="18" x14ac:dyDescent="0.35">
      <c r="A28" s="47"/>
      <c r="C28" t="s">
        <v>447</v>
      </c>
      <c r="D28" t="s">
        <v>450</v>
      </c>
      <c r="E28">
        <v>3.2621721541411617</v>
      </c>
      <c r="F28" t="s">
        <v>84</v>
      </c>
    </row>
    <row r="29" spans="1:6" x14ac:dyDescent="0.25">
      <c r="A29" s="47"/>
    </row>
    <row r="30" spans="1:6" x14ac:dyDescent="0.25">
      <c r="A30" s="47"/>
      <c r="C30" s="50" t="s">
        <v>451</v>
      </c>
      <c r="E30" s="62"/>
    </row>
    <row r="31" spans="1:6" x14ac:dyDescent="0.25">
      <c r="A31" s="47"/>
      <c r="D31" s="18"/>
      <c r="E31" s="62"/>
    </row>
    <row r="32" spans="1:6" x14ac:dyDescent="0.25">
      <c r="A32" s="47"/>
      <c r="C32" t="s">
        <v>429</v>
      </c>
      <c r="E32" s="62"/>
    </row>
    <row r="33" spans="1:6" ht="18" x14ac:dyDescent="0.35">
      <c r="A33" s="47"/>
      <c r="C33" t="s">
        <v>430</v>
      </c>
      <c r="D33" s="42" t="s">
        <v>431</v>
      </c>
      <c r="E33" s="62">
        <v>2.1035696705524485</v>
      </c>
      <c r="F33" t="s">
        <v>84</v>
      </c>
    </row>
    <row r="34" spans="1:6" x14ac:dyDescent="0.25">
      <c r="A34" s="47"/>
      <c r="C34" t="s">
        <v>453</v>
      </c>
      <c r="D34" s="42"/>
      <c r="E34" s="62"/>
    </row>
    <row r="35" spans="1:6" ht="18" x14ac:dyDescent="0.35">
      <c r="A35" s="47"/>
      <c r="C35" t="s">
        <v>454</v>
      </c>
      <c r="D35" s="42" t="s">
        <v>434</v>
      </c>
      <c r="E35" s="62">
        <v>3.1749015732775088</v>
      </c>
      <c r="F35" t="s">
        <v>84</v>
      </c>
    </row>
    <row r="36" spans="1:6" x14ac:dyDescent="0.25">
      <c r="A36" s="47"/>
      <c r="C36" t="s">
        <v>433</v>
      </c>
      <c r="E36" s="62"/>
    </row>
    <row r="37" spans="1:6" ht="18" x14ac:dyDescent="0.35">
      <c r="A37" s="47"/>
      <c r="C37" t="s">
        <v>432</v>
      </c>
      <c r="D37" t="s">
        <v>435</v>
      </c>
      <c r="E37" s="62">
        <v>0.63460910768913126</v>
      </c>
      <c r="F37" t="s">
        <v>84</v>
      </c>
    </row>
    <row r="38" spans="1:6" x14ac:dyDescent="0.25">
      <c r="A38" s="47"/>
      <c r="C38" t="s">
        <v>436</v>
      </c>
      <c r="E38" s="62"/>
    </row>
    <row r="39" spans="1:6" ht="18" x14ac:dyDescent="0.35">
      <c r="A39" s="47"/>
      <c r="C39" t="s">
        <v>437</v>
      </c>
      <c r="D39" t="s">
        <v>438</v>
      </c>
      <c r="E39" s="62">
        <v>4.2383173030930426</v>
      </c>
      <c r="F39" t="s">
        <v>84</v>
      </c>
    </row>
    <row r="40" spans="1:6" x14ac:dyDescent="0.25">
      <c r="A40" s="47"/>
      <c r="C40" t="s">
        <v>442</v>
      </c>
      <c r="E40" s="62"/>
    </row>
    <row r="41" spans="1:6" ht="18" x14ac:dyDescent="0.35">
      <c r="A41" s="47"/>
      <c r="C41" t="s">
        <v>443</v>
      </c>
      <c r="D41" t="s">
        <v>444</v>
      </c>
      <c r="E41" s="94">
        <v>1</v>
      </c>
      <c r="F41" t="s">
        <v>84</v>
      </c>
    </row>
    <row r="42" spans="1:6" x14ac:dyDescent="0.25">
      <c r="A42" s="47"/>
      <c r="C42" t="s">
        <v>445</v>
      </c>
    </row>
    <row r="43" spans="1:6" ht="18" x14ac:dyDescent="0.35">
      <c r="A43" s="47"/>
      <c r="C43" t="s">
        <v>448</v>
      </c>
      <c r="D43" t="s">
        <v>449</v>
      </c>
      <c r="E43">
        <v>4.2383173030930426</v>
      </c>
      <c r="F43" t="s">
        <v>84</v>
      </c>
    </row>
    <row r="44" spans="1:6" x14ac:dyDescent="0.25">
      <c r="A44" s="47"/>
    </row>
    <row r="45" spans="1:6" x14ac:dyDescent="0.25">
      <c r="A45" s="47"/>
    </row>
    <row r="46" spans="1:6" x14ac:dyDescent="0.25">
      <c r="A46" s="47"/>
    </row>
    <row r="47" spans="1:6" x14ac:dyDescent="0.25">
      <c r="A47" s="47"/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22"/>
      <c r="B49" s="22"/>
      <c r="C49" s="22"/>
      <c r="D49" s="22"/>
      <c r="E49" s="22"/>
      <c r="F49" s="22"/>
    </row>
    <row r="50" spans="1:6" x14ac:dyDescent="0.25">
      <c r="A50" s="77"/>
      <c r="B50" s="77"/>
      <c r="C50" s="77"/>
      <c r="D50" s="77"/>
      <c r="E50" s="77"/>
      <c r="F50" s="77"/>
    </row>
    <row r="51" spans="1:6" x14ac:dyDescent="0.25">
      <c r="A51" s="77"/>
      <c r="B51" s="77"/>
      <c r="C51" s="78"/>
      <c r="D51" s="77"/>
      <c r="E51" s="77"/>
      <c r="F51" s="77"/>
    </row>
    <row r="52" spans="1:6" x14ac:dyDescent="0.25">
      <c r="A52" s="77"/>
      <c r="B52" s="77"/>
      <c r="C52" s="77"/>
      <c r="D52" s="77"/>
      <c r="E52" s="77"/>
      <c r="F52" s="77"/>
    </row>
    <row r="53" spans="1:6" x14ac:dyDescent="0.25">
      <c r="A53" s="77"/>
      <c r="B53" s="77"/>
      <c r="C53" s="77"/>
      <c r="D53" s="77"/>
      <c r="E53" s="77"/>
      <c r="F53" s="77"/>
    </row>
    <row r="54" spans="1:6" x14ac:dyDescent="0.25">
      <c r="A54" s="77"/>
      <c r="B54" s="77"/>
      <c r="C54" s="77"/>
      <c r="D54" s="77"/>
      <c r="E54" s="77"/>
      <c r="F54" s="77"/>
    </row>
    <row r="55" spans="1:6" x14ac:dyDescent="0.25">
      <c r="A55" s="77"/>
      <c r="B55" s="77"/>
      <c r="C55" s="77"/>
      <c r="D55" s="77"/>
      <c r="E55" s="77"/>
      <c r="F55" s="77"/>
    </row>
    <row r="56" spans="1:6" x14ac:dyDescent="0.25">
      <c r="A56" s="77"/>
      <c r="B56" s="77"/>
      <c r="C56" s="77"/>
      <c r="D56" s="77"/>
      <c r="E56" s="77"/>
      <c r="F56" s="77"/>
    </row>
    <row r="57" spans="1:6" x14ac:dyDescent="0.25">
      <c r="A57" s="77"/>
      <c r="B57" s="77"/>
      <c r="C57" s="77"/>
      <c r="D57" s="77"/>
      <c r="E57" s="77"/>
      <c r="F57" s="77"/>
    </row>
    <row r="58" spans="1:6" x14ac:dyDescent="0.25">
      <c r="A58" s="77"/>
      <c r="B58" s="77"/>
      <c r="C58" s="77"/>
      <c r="D58" s="77"/>
      <c r="E58" s="77"/>
      <c r="F58" s="77"/>
    </row>
    <row r="59" spans="1:6" x14ac:dyDescent="0.25">
      <c r="A59" s="77"/>
      <c r="B59" s="77"/>
      <c r="C59" s="77"/>
      <c r="D59" s="77"/>
      <c r="E59" s="77"/>
      <c r="F59" s="77"/>
    </row>
    <row r="60" spans="1:6" x14ac:dyDescent="0.25">
      <c r="A60" s="77"/>
      <c r="B60" s="77"/>
      <c r="C60" s="78"/>
      <c r="D60" s="77"/>
      <c r="E60" s="77"/>
      <c r="F60" s="77"/>
    </row>
    <row r="61" spans="1:6" x14ac:dyDescent="0.25">
      <c r="A61" s="77"/>
      <c r="B61" s="77"/>
      <c r="C61" s="77"/>
      <c r="D61" s="77"/>
      <c r="E61" s="77"/>
      <c r="F61" s="77"/>
    </row>
    <row r="62" spans="1:6" x14ac:dyDescent="0.25">
      <c r="A62" s="77"/>
      <c r="B62" s="77"/>
      <c r="C62" s="78"/>
      <c r="D62" s="77"/>
      <c r="E62" s="77"/>
      <c r="F62" s="77"/>
    </row>
    <row r="63" spans="1:6" x14ac:dyDescent="0.25">
      <c r="A63" s="77"/>
      <c r="B63" s="77"/>
      <c r="C63" s="77"/>
      <c r="D63" s="77"/>
      <c r="E63" s="77"/>
      <c r="F63" s="77"/>
    </row>
    <row r="64" spans="1:6" x14ac:dyDescent="0.25">
      <c r="A64" s="77"/>
      <c r="B64" s="77"/>
      <c r="C64" s="77"/>
      <c r="D64" s="77"/>
      <c r="E64" s="79"/>
      <c r="F64" s="77"/>
    </row>
    <row r="65" spans="1:6" x14ac:dyDescent="0.25">
      <c r="A65" s="77"/>
      <c r="B65" s="77"/>
      <c r="C65" s="77"/>
      <c r="D65" s="77"/>
      <c r="E65" s="77"/>
      <c r="F65" s="77"/>
    </row>
    <row r="66" spans="1:6" x14ac:dyDescent="0.25">
      <c r="A66" s="77"/>
      <c r="B66" s="77"/>
      <c r="C66" s="78"/>
      <c r="D66" s="77"/>
      <c r="E66" s="77"/>
      <c r="F66" s="77"/>
    </row>
    <row r="67" spans="1:6" x14ac:dyDescent="0.25">
      <c r="A67" s="77"/>
      <c r="B67" s="77"/>
      <c r="C67" s="77"/>
      <c r="D67" s="77"/>
      <c r="E67" s="77"/>
      <c r="F67" s="77"/>
    </row>
    <row r="68" spans="1:6" x14ac:dyDescent="0.25">
      <c r="A68" s="77"/>
      <c r="B68" s="77"/>
      <c r="C68" s="77"/>
      <c r="D68" s="77"/>
      <c r="E68" s="77"/>
      <c r="F68" s="77"/>
    </row>
    <row r="69" spans="1:6" x14ac:dyDescent="0.25">
      <c r="A69" s="77"/>
      <c r="B69" s="77"/>
      <c r="C69" s="77"/>
      <c r="D69" s="77"/>
      <c r="E69" s="77"/>
      <c r="F69" s="77"/>
    </row>
    <row r="70" spans="1:6" x14ac:dyDescent="0.25">
      <c r="A70" s="77"/>
      <c r="B70" s="77"/>
      <c r="C70" s="77"/>
      <c r="D70" s="77"/>
      <c r="E70" s="77"/>
      <c r="F70" s="77"/>
    </row>
    <row r="71" spans="1:6" x14ac:dyDescent="0.25">
      <c r="A71" s="77"/>
      <c r="B71" s="77"/>
      <c r="C71" s="77"/>
      <c r="D71" s="80"/>
      <c r="E71" s="77"/>
      <c r="F71" s="77"/>
    </row>
    <row r="72" spans="1:6" x14ac:dyDescent="0.25">
      <c r="A72" s="77"/>
      <c r="B72" s="77"/>
      <c r="C72" s="78"/>
      <c r="D72" s="77"/>
      <c r="E72" s="77"/>
      <c r="F72" s="77"/>
    </row>
    <row r="73" spans="1:6" x14ac:dyDescent="0.25">
      <c r="A73" s="77"/>
      <c r="B73" s="77"/>
      <c r="C73" s="77"/>
      <c r="D73" s="77"/>
      <c r="E73" s="77"/>
      <c r="F73" s="77"/>
    </row>
    <row r="74" spans="1:6" x14ac:dyDescent="0.25">
      <c r="A74" s="77"/>
      <c r="B74" s="77"/>
      <c r="C74" s="77"/>
      <c r="D74" s="80"/>
      <c r="E74" s="77"/>
      <c r="F74" s="77"/>
    </row>
    <row r="75" spans="1:6" x14ac:dyDescent="0.25">
      <c r="A75" s="77"/>
      <c r="B75" s="77"/>
      <c r="C75" s="77"/>
      <c r="D75" s="80"/>
      <c r="E75" s="77"/>
      <c r="F75" s="77"/>
    </row>
    <row r="76" spans="1:6" x14ac:dyDescent="0.25">
      <c r="A76" s="77"/>
      <c r="B76" s="77"/>
      <c r="C76" s="77"/>
      <c r="D76" s="80"/>
      <c r="E76" s="79"/>
      <c r="F76" s="77"/>
    </row>
    <row r="77" spans="1:6" x14ac:dyDescent="0.25">
      <c r="A77" s="77"/>
      <c r="B77" s="77"/>
      <c r="C77" s="77"/>
      <c r="D77" s="77"/>
      <c r="E77" s="77"/>
      <c r="F77" s="77"/>
    </row>
    <row r="78" spans="1:6" x14ac:dyDescent="0.25">
      <c r="A78" s="77"/>
      <c r="B78" s="77"/>
      <c r="C78" s="81"/>
      <c r="D78" s="77"/>
      <c r="E78" s="77"/>
      <c r="F78" s="77"/>
    </row>
    <row r="79" spans="1:6" x14ac:dyDescent="0.25">
      <c r="A79" s="77"/>
      <c r="B79" s="77"/>
      <c r="C79" s="77"/>
      <c r="D79" s="77"/>
      <c r="E79" s="77"/>
      <c r="F79" s="77"/>
    </row>
    <row r="80" spans="1:6" x14ac:dyDescent="0.25">
      <c r="A80" s="77"/>
      <c r="B80" s="77"/>
      <c r="C80" s="77"/>
      <c r="D80" s="80"/>
      <c r="E80" s="77"/>
      <c r="F80" s="77"/>
    </row>
    <row r="81" spans="1:6" x14ac:dyDescent="0.25">
      <c r="A81" s="77"/>
      <c r="B81" s="77"/>
      <c r="C81" s="77"/>
      <c r="D81" s="80"/>
      <c r="E81" s="77"/>
      <c r="F81" s="77"/>
    </row>
    <row r="82" spans="1:6" x14ac:dyDescent="0.25">
      <c r="A82" s="77"/>
      <c r="B82" s="77"/>
      <c r="C82" s="77"/>
      <c r="D82" s="80"/>
      <c r="E82" s="77"/>
      <c r="F82" s="77"/>
    </row>
    <row r="83" spans="1:6" x14ac:dyDescent="0.25">
      <c r="A83" s="77"/>
      <c r="B83" s="77"/>
      <c r="C83" s="77"/>
      <c r="D83" s="80"/>
      <c r="E83" s="77"/>
      <c r="F83" s="77"/>
    </row>
    <row r="84" spans="1:6" x14ac:dyDescent="0.25">
      <c r="A84" s="77"/>
      <c r="B84" s="77"/>
      <c r="C84" s="77"/>
      <c r="D84" s="80"/>
      <c r="E84" s="77"/>
      <c r="F84" s="77"/>
    </row>
    <row r="85" spans="1:6" x14ac:dyDescent="0.25">
      <c r="A85" s="77"/>
      <c r="B85" s="77"/>
      <c r="C85" s="77"/>
      <c r="D85" s="80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77"/>
      <c r="B88" s="77"/>
      <c r="C88" s="82"/>
      <c r="D88" s="83"/>
      <c r="E88" s="84"/>
      <c r="F88" s="84"/>
    </row>
    <row r="89" spans="1:6" x14ac:dyDescent="0.25">
      <c r="A89" s="77"/>
      <c r="B89" s="77"/>
      <c r="C89" s="85"/>
      <c r="D89" s="86"/>
      <c r="E89" s="84"/>
      <c r="F89" s="87"/>
    </row>
    <row r="90" spans="1:6" x14ac:dyDescent="0.25">
      <c r="A90" s="77"/>
      <c r="B90" s="77"/>
      <c r="C90" s="85"/>
      <c r="D90" s="88"/>
      <c r="E90" s="84"/>
      <c r="F90" s="87"/>
    </row>
    <row r="91" spans="1:6" x14ac:dyDescent="0.25">
      <c r="A91" s="77"/>
      <c r="B91" s="77"/>
      <c r="C91" s="85"/>
      <c r="D91" s="88"/>
      <c r="E91" s="84"/>
      <c r="F91" s="87"/>
    </row>
    <row r="92" spans="1:6" x14ac:dyDescent="0.25">
      <c r="A92" s="77"/>
      <c r="B92" s="77"/>
      <c r="C92" s="77"/>
      <c r="D92" s="77"/>
      <c r="E92" s="77"/>
      <c r="F92" s="77"/>
    </row>
    <row r="93" spans="1:6" x14ac:dyDescent="0.25">
      <c r="A93" s="77"/>
      <c r="B93" s="77"/>
      <c r="C93" s="77"/>
      <c r="D93" s="77"/>
      <c r="E93" s="77"/>
      <c r="F93" s="77"/>
    </row>
    <row r="94" spans="1:6" x14ac:dyDescent="0.25">
      <c r="A94" s="77"/>
      <c r="B94" s="77"/>
      <c r="C94" s="77"/>
      <c r="D94" s="77"/>
      <c r="E94" s="77"/>
      <c r="F94" s="89"/>
    </row>
    <row r="95" spans="1:6" x14ac:dyDescent="0.25">
      <c r="A95" s="77"/>
      <c r="B95" s="77"/>
      <c r="C95" s="77"/>
      <c r="D95" s="77"/>
      <c r="E95" s="77"/>
      <c r="F95" s="77"/>
    </row>
    <row r="96" spans="1:6" x14ac:dyDescent="0.25">
      <c r="A96" s="77"/>
      <c r="B96" s="77"/>
      <c r="C96" s="81"/>
      <c r="D96" s="77"/>
      <c r="E96" s="77"/>
      <c r="F96" s="77"/>
    </row>
    <row r="97" spans="1:6" x14ac:dyDescent="0.25">
      <c r="A97" s="77"/>
      <c r="B97" s="77"/>
      <c r="C97" s="77"/>
      <c r="D97" s="77"/>
      <c r="E97" s="77"/>
      <c r="F97" s="77"/>
    </row>
    <row r="98" spans="1:6" x14ac:dyDescent="0.25">
      <c r="A98" s="77"/>
      <c r="B98" s="77"/>
      <c r="C98" s="77"/>
      <c r="D98" s="80"/>
      <c r="E98" s="89"/>
      <c r="F98" s="77"/>
    </row>
    <row r="99" spans="1:6" x14ac:dyDescent="0.25">
      <c r="A99" s="77"/>
      <c r="B99" s="77"/>
      <c r="C99" s="77"/>
      <c r="D99" s="80"/>
      <c r="E99" s="89"/>
      <c r="F99" s="77"/>
    </row>
    <row r="100" spans="1:6" x14ac:dyDescent="0.25">
      <c r="A100" s="77"/>
      <c r="B100" s="77"/>
      <c r="C100" s="77"/>
      <c r="D100" s="80"/>
      <c r="E100" s="89"/>
      <c r="F100" s="77"/>
    </row>
    <row r="101" spans="1:6" x14ac:dyDescent="0.25">
      <c r="A101" s="77"/>
      <c r="B101" s="77"/>
      <c r="C101" s="77"/>
      <c r="D101" s="80"/>
      <c r="E101" s="89"/>
      <c r="F101" s="77"/>
    </row>
    <row r="102" spans="1:6" x14ac:dyDescent="0.25">
      <c r="A102" s="77"/>
      <c r="B102" s="77"/>
      <c r="C102" s="77"/>
      <c r="D102" s="90"/>
      <c r="E102" s="91"/>
      <c r="F102" s="77"/>
    </row>
    <row r="103" spans="1:6" x14ac:dyDescent="0.25">
      <c r="A103" s="77"/>
      <c r="B103" s="77"/>
      <c r="C103" s="77"/>
      <c r="D103" s="80"/>
      <c r="E103" s="89"/>
      <c r="F103" s="77"/>
    </row>
    <row r="104" spans="1:6" x14ac:dyDescent="0.25">
      <c r="A104" s="77"/>
      <c r="B104" s="77"/>
      <c r="C104" s="77"/>
      <c r="D104" s="80"/>
      <c r="E104" s="89"/>
      <c r="F104" s="77"/>
    </row>
    <row r="105" spans="1:6" x14ac:dyDescent="0.25">
      <c r="A105" s="77"/>
      <c r="B105" s="77"/>
      <c r="C105" s="77"/>
      <c r="D105" s="77"/>
      <c r="E105" s="77"/>
      <c r="F105" s="77"/>
    </row>
    <row r="106" spans="1:6" x14ac:dyDescent="0.25">
      <c r="A106" s="77"/>
      <c r="B106" s="77"/>
      <c r="C106" s="78"/>
      <c r="D106" s="80"/>
      <c r="E106" s="77"/>
      <c r="F106" s="77"/>
    </row>
    <row r="107" spans="1:6" x14ac:dyDescent="0.25">
      <c r="A107" s="77"/>
      <c r="B107" s="77"/>
      <c r="C107" s="77"/>
      <c r="D107" s="80"/>
      <c r="E107" s="77"/>
      <c r="F107" s="77"/>
    </row>
    <row r="108" spans="1:6" x14ac:dyDescent="0.25">
      <c r="A108" s="77"/>
      <c r="B108" s="77"/>
      <c r="C108" s="77"/>
      <c r="D108" s="80"/>
      <c r="E108" s="77"/>
      <c r="F108" s="77"/>
    </row>
    <row r="109" spans="1:6" x14ac:dyDescent="0.25">
      <c r="A109" s="77"/>
      <c r="B109" s="77"/>
      <c r="C109" s="77"/>
      <c r="D109" s="80"/>
      <c r="E109" s="77"/>
      <c r="F109" s="77"/>
    </row>
    <row r="110" spans="1:6" x14ac:dyDescent="0.25">
      <c r="A110" s="77"/>
      <c r="B110" s="77"/>
      <c r="C110" s="77"/>
      <c r="D110" s="80"/>
      <c r="E110" s="77"/>
      <c r="F110" s="77"/>
    </row>
    <row r="111" spans="1:6" x14ac:dyDescent="0.25">
      <c r="A111" s="77"/>
      <c r="B111" s="77"/>
      <c r="C111" s="77"/>
      <c r="D111" s="80"/>
      <c r="E111" s="77"/>
      <c r="F111" s="77"/>
    </row>
    <row r="112" spans="1:6" x14ac:dyDescent="0.25">
      <c r="A112" s="77"/>
      <c r="B112" s="77"/>
      <c r="C112" s="77"/>
      <c r="D112" s="80"/>
      <c r="E112" s="77"/>
      <c r="F112" s="77"/>
    </row>
    <row r="113" spans="1:6" x14ac:dyDescent="0.25">
      <c r="A113" s="77"/>
      <c r="B113" s="77"/>
      <c r="C113" s="77"/>
      <c r="D113" s="80"/>
      <c r="E113" s="77"/>
      <c r="F113" s="77"/>
    </row>
    <row r="114" spans="1:6" x14ac:dyDescent="0.25">
      <c r="A114" s="77"/>
      <c r="B114" s="77"/>
      <c r="C114" s="77"/>
      <c r="D114" s="77"/>
      <c r="E114" s="77"/>
      <c r="F114" s="77"/>
    </row>
    <row r="115" spans="1:6" x14ac:dyDescent="0.25">
      <c r="A115" s="77"/>
      <c r="B115" s="77"/>
      <c r="C115" s="81"/>
      <c r="D115" s="77"/>
      <c r="E115" s="77"/>
      <c r="F115" s="77"/>
    </row>
    <row r="116" spans="1:6" x14ac:dyDescent="0.25">
      <c r="A116" s="77"/>
      <c r="B116" s="77"/>
      <c r="C116" s="77"/>
      <c r="D116" s="77"/>
      <c r="E116" s="77"/>
      <c r="F116" s="77"/>
    </row>
    <row r="117" spans="1:6" x14ac:dyDescent="0.25">
      <c r="A117" s="77"/>
      <c r="B117" s="77"/>
      <c r="C117" s="77"/>
      <c r="D117" s="80"/>
      <c r="E117" s="77"/>
      <c r="F117" s="77"/>
    </row>
    <row r="118" spans="1:6" x14ac:dyDescent="0.25">
      <c r="A118" s="77"/>
      <c r="B118" s="77"/>
      <c r="C118" s="77"/>
      <c r="D118" s="80"/>
      <c r="E118" s="77"/>
      <c r="F118" s="77"/>
    </row>
    <row r="119" spans="1:6" x14ac:dyDescent="0.25">
      <c r="A119" s="77"/>
      <c r="B119" s="77"/>
      <c r="C119" s="77"/>
      <c r="D119" s="80"/>
      <c r="E119" s="77"/>
      <c r="F119" s="77"/>
    </row>
    <row r="120" spans="1:6" x14ac:dyDescent="0.25">
      <c r="A120" s="77"/>
      <c r="B120" s="77"/>
      <c r="C120" s="77"/>
      <c r="D120" s="80"/>
      <c r="E120" s="77"/>
      <c r="F120" s="77"/>
    </row>
    <row r="121" spans="1:6" x14ac:dyDescent="0.25">
      <c r="A121" s="77"/>
      <c r="B121" s="77"/>
      <c r="C121" s="77"/>
      <c r="D121" s="77"/>
      <c r="E121" s="77"/>
      <c r="F121" s="77"/>
    </row>
    <row r="122" spans="1:6" x14ac:dyDescent="0.25">
      <c r="A122" s="77"/>
      <c r="B122" s="77"/>
      <c r="C122" s="81"/>
      <c r="D122" s="77"/>
      <c r="E122" s="77"/>
      <c r="F122" s="77"/>
    </row>
    <row r="123" spans="1:6" x14ac:dyDescent="0.25">
      <c r="A123" s="77"/>
      <c r="B123" s="77"/>
      <c r="C123" s="77"/>
      <c r="D123" s="77"/>
      <c r="E123" s="77"/>
      <c r="F123" s="77"/>
    </row>
    <row r="124" spans="1:6" x14ac:dyDescent="0.25">
      <c r="A124" s="77"/>
      <c r="B124" s="77"/>
      <c r="C124" s="77"/>
      <c r="D124" s="80"/>
      <c r="E124" s="77"/>
      <c r="F124" s="77"/>
    </row>
    <row r="125" spans="1:6" x14ac:dyDescent="0.25">
      <c r="A125" s="77"/>
      <c r="B125" s="77"/>
      <c r="C125" s="77"/>
      <c r="D125" s="80"/>
      <c r="E125" s="77"/>
      <c r="F125" s="77"/>
    </row>
    <row r="126" spans="1:6" x14ac:dyDescent="0.25">
      <c r="A126" s="77"/>
      <c r="B126" s="77"/>
      <c r="C126" s="77"/>
      <c r="D126" s="80"/>
      <c r="E126" s="77"/>
      <c r="F126" s="77"/>
    </row>
    <row r="127" spans="1:6" x14ac:dyDescent="0.25">
      <c r="A127" s="77"/>
      <c r="B127" s="77"/>
      <c r="C127" s="77"/>
      <c r="D127" s="80"/>
      <c r="E127" s="77"/>
      <c r="F127" s="77"/>
    </row>
    <row r="128" spans="1:6" x14ac:dyDescent="0.25">
      <c r="A128" s="77"/>
      <c r="B128" s="77"/>
      <c r="C128" s="77"/>
      <c r="D128" s="80"/>
      <c r="E128" s="77"/>
      <c r="F128" s="77"/>
    </row>
    <row r="129" spans="1:6" x14ac:dyDescent="0.25">
      <c r="A129" s="77"/>
      <c r="B129" s="77"/>
      <c r="C129" s="77"/>
      <c r="D129" s="77"/>
      <c r="E129" s="77"/>
      <c r="F129" s="77"/>
    </row>
    <row r="130" spans="1:6" x14ac:dyDescent="0.25">
      <c r="A130" s="77"/>
      <c r="B130" s="77"/>
      <c r="C130" s="78"/>
      <c r="D130" s="77"/>
      <c r="E130" s="77"/>
      <c r="F130" s="77"/>
    </row>
    <row r="131" spans="1:6" x14ac:dyDescent="0.25">
      <c r="A131" s="77"/>
      <c r="B131" s="77"/>
      <c r="C131" s="77"/>
      <c r="D131" s="77"/>
      <c r="E131" s="77"/>
      <c r="F131" s="77"/>
    </row>
    <row r="132" spans="1:6" x14ac:dyDescent="0.25">
      <c r="A132" s="77"/>
      <c r="B132" s="77"/>
      <c r="C132" s="77"/>
      <c r="D132" s="80"/>
      <c r="E132" s="77"/>
      <c r="F132" s="77"/>
    </row>
    <row r="133" spans="1:6" x14ac:dyDescent="0.25">
      <c r="A133" s="77"/>
      <c r="B133" s="77"/>
      <c r="C133" s="77"/>
      <c r="D133" s="80"/>
      <c r="E133" s="77"/>
      <c r="F133" s="77"/>
    </row>
    <row r="134" spans="1:6" x14ac:dyDescent="0.25">
      <c r="A134" s="77"/>
      <c r="B134" s="77"/>
      <c r="C134" s="77"/>
      <c r="D134" s="80"/>
      <c r="E134" s="92"/>
      <c r="F134" s="77"/>
    </row>
    <row r="135" spans="1:6" x14ac:dyDescent="0.25">
      <c r="A135" s="77"/>
      <c r="B135" s="77"/>
      <c r="C135" s="77"/>
      <c r="D135" s="77"/>
      <c r="E135" s="92"/>
      <c r="F135" s="77"/>
    </row>
    <row r="136" spans="1:6" x14ac:dyDescent="0.25">
      <c r="A136" s="77"/>
      <c r="B136" s="77"/>
      <c r="C136" s="77"/>
      <c r="D136" s="77"/>
      <c r="E136" s="77"/>
      <c r="F136" s="77"/>
    </row>
    <row r="137" spans="1:6" x14ac:dyDescent="0.25">
      <c r="A137" s="77"/>
      <c r="B137" s="77"/>
      <c r="C137" s="77"/>
      <c r="D137" s="77"/>
      <c r="E137" s="77"/>
      <c r="F137" s="77"/>
    </row>
    <row r="138" spans="1:6" x14ac:dyDescent="0.25">
      <c r="A138" s="77"/>
      <c r="B138" s="77"/>
      <c r="C138" s="77"/>
      <c r="D138" s="77"/>
      <c r="E138" s="77"/>
      <c r="F138" s="89"/>
    </row>
    <row r="139" spans="1:6" x14ac:dyDescent="0.25">
      <c r="A139" s="77"/>
      <c r="B139" s="77"/>
      <c r="C139" s="77"/>
      <c r="D139" s="77"/>
      <c r="E139" s="77"/>
      <c r="F139" s="77"/>
    </row>
    <row r="140" spans="1:6" x14ac:dyDescent="0.25">
      <c r="A140" s="77"/>
      <c r="B140" s="77"/>
      <c r="C140" s="77"/>
      <c r="D140" s="77"/>
      <c r="E140" s="77"/>
      <c r="F140" s="77"/>
    </row>
    <row r="141" spans="1:6" x14ac:dyDescent="0.25">
      <c r="A141" s="77"/>
      <c r="B141" s="77"/>
      <c r="C141" s="77"/>
      <c r="D141" s="77"/>
      <c r="E141" s="77"/>
      <c r="F141" s="77"/>
    </row>
    <row r="142" spans="1:6" x14ac:dyDescent="0.25">
      <c r="A142" s="77"/>
      <c r="B142" s="77"/>
      <c r="C142" s="77"/>
      <c r="D142" s="77"/>
      <c r="E142" s="77"/>
      <c r="F142" s="77"/>
    </row>
    <row r="143" spans="1:6" x14ac:dyDescent="0.25">
      <c r="A143" s="77"/>
      <c r="B143" s="77"/>
      <c r="C143" s="77"/>
      <c r="D143" s="77"/>
      <c r="E143" s="77"/>
      <c r="F143" s="77"/>
    </row>
    <row r="144" spans="1:6" x14ac:dyDescent="0.25">
      <c r="A144" s="77"/>
      <c r="B144" s="77"/>
      <c r="C144" s="77"/>
      <c r="D144" s="77"/>
      <c r="E144" s="77"/>
      <c r="F144" s="77"/>
    </row>
    <row r="145" spans="1:6" x14ac:dyDescent="0.25">
      <c r="A145" s="77"/>
      <c r="B145" s="77"/>
      <c r="C145" s="77"/>
      <c r="D145" s="77"/>
      <c r="E145" s="77"/>
      <c r="F145" s="77"/>
    </row>
    <row r="146" spans="1:6" x14ac:dyDescent="0.25">
      <c r="A146" s="77"/>
      <c r="B146" s="77"/>
      <c r="C146" s="77"/>
      <c r="D146" s="77"/>
      <c r="E146" s="77"/>
      <c r="F146" s="77"/>
    </row>
    <row r="147" spans="1:6" x14ac:dyDescent="0.25">
      <c r="A147" s="77"/>
      <c r="B147" s="77"/>
      <c r="C147" s="77"/>
      <c r="D147" s="77"/>
      <c r="E147" s="77"/>
      <c r="F147" s="77"/>
    </row>
    <row r="148" spans="1:6" x14ac:dyDescent="0.25">
      <c r="A148" s="77"/>
      <c r="B148" s="77"/>
      <c r="C148" s="77"/>
      <c r="D148" s="77"/>
      <c r="E148" s="77"/>
      <c r="F148" s="77"/>
    </row>
    <row r="149" spans="1:6" x14ac:dyDescent="0.25">
      <c r="A149" s="77"/>
      <c r="B149" s="77"/>
      <c r="C149" s="77"/>
      <c r="D149" s="77"/>
      <c r="E149" s="77"/>
      <c r="F149" s="77"/>
    </row>
    <row r="150" spans="1:6" x14ac:dyDescent="0.25">
      <c r="A150" s="77"/>
      <c r="B150" s="77"/>
      <c r="C150" s="77"/>
      <c r="D150" s="77"/>
      <c r="E150" s="77"/>
      <c r="F150" s="77"/>
    </row>
    <row r="151" spans="1:6" x14ac:dyDescent="0.25">
      <c r="A151" s="77"/>
      <c r="B151" s="77"/>
      <c r="C151" s="77"/>
      <c r="D151" s="77"/>
      <c r="E151" s="77"/>
      <c r="F151" s="77"/>
    </row>
    <row r="152" spans="1:6" x14ac:dyDescent="0.25">
      <c r="A152" s="77"/>
      <c r="B152" s="77"/>
      <c r="C152" s="77"/>
      <c r="D152" s="77"/>
      <c r="E152" s="77"/>
      <c r="F152" s="77"/>
    </row>
    <row r="153" spans="1:6" x14ac:dyDescent="0.25">
      <c r="A153" s="77"/>
      <c r="B153" s="77"/>
      <c r="C153" s="77"/>
      <c r="D153" s="77"/>
      <c r="E153" s="77"/>
      <c r="F153" s="77"/>
    </row>
    <row r="154" spans="1:6" x14ac:dyDescent="0.25">
      <c r="A154" s="77"/>
      <c r="B154" s="77"/>
      <c r="C154" s="77"/>
      <c r="D154" s="77"/>
      <c r="E154" s="77"/>
      <c r="F154" s="77"/>
    </row>
    <row r="155" spans="1:6" x14ac:dyDescent="0.25">
      <c r="A155" s="77"/>
      <c r="B155" s="77"/>
      <c r="C155" s="77"/>
      <c r="D155" s="77"/>
      <c r="E155" s="77"/>
      <c r="F155" s="77"/>
    </row>
    <row r="156" spans="1:6" x14ac:dyDescent="0.25">
      <c r="A156" s="77"/>
      <c r="B156" s="77"/>
      <c r="C156" s="77"/>
      <c r="D156" s="77"/>
      <c r="E156" s="77"/>
      <c r="F156" s="77"/>
    </row>
    <row r="157" spans="1:6" x14ac:dyDescent="0.25">
      <c r="A157" s="77"/>
      <c r="B157" s="77"/>
      <c r="C157" s="77"/>
      <c r="D157" s="77"/>
      <c r="E157" s="77"/>
      <c r="F157" s="77"/>
    </row>
    <row r="158" spans="1:6" x14ac:dyDescent="0.25">
      <c r="A158" s="77"/>
      <c r="B158" s="77"/>
      <c r="C158" s="77"/>
      <c r="D158" s="77"/>
      <c r="E158" s="77"/>
      <c r="F158" s="77"/>
    </row>
    <row r="159" spans="1:6" x14ac:dyDescent="0.25">
      <c r="A159" s="77"/>
      <c r="B159" s="77"/>
      <c r="C159" s="77"/>
      <c r="D159" s="77"/>
      <c r="E159" s="77"/>
      <c r="F159" s="77"/>
    </row>
    <row r="160" spans="1:6" x14ac:dyDescent="0.25">
      <c r="A160" s="77"/>
      <c r="B160" s="77"/>
      <c r="C160" s="77"/>
      <c r="D160" s="77"/>
      <c r="E160" s="77"/>
      <c r="F160" s="77"/>
    </row>
    <row r="161" spans="1:6" x14ac:dyDescent="0.25">
      <c r="A161" s="77"/>
      <c r="B161" s="77"/>
      <c r="C161" s="77"/>
      <c r="D161" s="77"/>
      <c r="E161" s="77"/>
      <c r="F161" s="77"/>
    </row>
    <row r="162" spans="1:6" x14ac:dyDescent="0.25">
      <c r="A162" s="77"/>
      <c r="B162" s="77"/>
      <c r="C162" s="77"/>
      <c r="D162" s="77"/>
      <c r="E162" s="77"/>
      <c r="F162" s="77"/>
    </row>
    <row r="163" spans="1:6" x14ac:dyDescent="0.25">
      <c r="A163" s="77"/>
      <c r="B163" s="77"/>
      <c r="C163" s="77"/>
      <c r="D163" s="77"/>
      <c r="E163" s="77"/>
      <c r="F163" s="77"/>
    </row>
    <row r="164" spans="1:6" x14ac:dyDescent="0.25">
      <c r="A164" s="77"/>
      <c r="B164" s="77"/>
      <c r="C164" s="77"/>
      <c r="D164" s="77"/>
      <c r="E164" s="77"/>
      <c r="F164" s="77"/>
    </row>
    <row r="165" spans="1:6" x14ac:dyDescent="0.25">
      <c r="A165" s="77"/>
      <c r="B165" s="77"/>
      <c r="C165" s="77"/>
      <c r="D165" s="77"/>
      <c r="E165" s="77"/>
      <c r="F165" s="77"/>
    </row>
    <row r="166" spans="1:6" x14ac:dyDescent="0.25">
      <c r="A166" s="77"/>
      <c r="B166" s="77"/>
      <c r="C166" s="77"/>
      <c r="D166" s="77"/>
      <c r="E166" s="77"/>
      <c r="F166" s="77"/>
    </row>
    <row r="167" spans="1:6" x14ac:dyDescent="0.25">
      <c r="A167" s="77"/>
      <c r="B167" s="77"/>
      <c r="C167" s="77"/>
      <c r="D167" s="77"/>
      <c r="E167" s="77"/>
      <c r="F167" s="77"/>
    </row>
    <row r="168" spans="1:6" x14ac:dyDescent="0.25">
      <c r="A168" s="77"/>
      <c r="B168" s="77"/>
      <c r="C168" s="77"/>
      <c r="D168" s="77"/>
      <c r="E168" s="77"/>
      <c r="F168" s="77"/>
    </row>
    <row r="169" spans="1:6" x14ac:dyDescent="0.25">
      <c r="A169" s="77"/>
      <c r="B169" s="77"/>
      <c r="C169" s="77"/>
      <c r="D169" s="77"/>
      <c r="E169" s="77"/>
      <c r="F169" s="77"/>
    </row>
    <row r="170" spans="1:6" x14ac:dyDescent="0.25">
      <c r="A170" s="77"/>
      <c r="B170" s="77"/>
      <c r="C170" s="77"/>
      <c r="D170" s="77"/>
      <c r="E170" s="77"/>
      <c r="F170" s="77"/>
    </row>
    <row r="171" spans="1:6" x14ac:dyDescent="0.25">
      <c r="A171" s="77"/>
      <c r="B171" s="77"/>
      <c r="C171" s="77"/>
      <c r="D171" s="77"/>
      <c r="E171" s="77"/>
      <c r="F171" s="77"/>
    </row>
    <row r="172" spans="1:6" x14ac:dyDescent="0.25">
      <c r="A172" s="77"/>
      <c r="B172" s="77"/>
      <c r="C172" s="77"/>
      <c r="D172" s="77"/>
      <c r="E172" s="77"/>
      <c r="F172" s="77"/>
    </row>
    <row r="173" spans="1:6" x14ac:dyDescent="0.25">
      <c r="A173" s="77"/>
      <c r="B173" s="77"/>
      <c r="C173" s="77"/>
      <c r="D173" s="77"/>
      <c r="E173" s="77"/>
      <c r="F173" s="77"/>
    </row>
    <row r="174" spans="1:6" x14ac:dyDescent="0.25">
      <c r="A174" s="77"/>
      <c r="B174" s="77"/>
      <c r="C174" s="77"/>
      <c r="D174" s="77"/>
      <c r="E174" s="77"/>
      <c r="F174" s="77"/>
    </row>
    <row r="175" spans="1:6" x14ac:dyDescent="0.25">
      <c r="A175" s="77"/>
      <c r="B175" s="77"/>
      <c r="C175" s="77"/>
      <c r="D175" s="77"/>
      <c r="E175" s="77"/>
      <c r="F175" s="77"/>
    </row>
    <row r="176" spans="1:6" x14ac:dyDescent="0.25">
      <c r="A176" s="77"/>
      <c r="B176" s="77"/>
      <c r="C176" s="77"/>
      <c r="D176" s="77"/>
      <c r="E176" s="77"/>
      <c r="F176" s="77"/>
    </row>
    <row r="177" spans="1:6" x14ac:dyDescent="0.25">
      <c r="A177" s="77"/>
      <c r="B177" s="77"/>
      <c r="C177" s="77"/>
      <c r="D177" s="77"/>
      <c r="E177" s="77"/>
      <c r="F177" s="77"/>
    </row>
    <row r="178" spans="1:6" x14ac:dyDescent="0.25">
      <c r="A178" s="77"/>
      <c r="B178" s="77"/>
      <c r="C178" s="77"/>
      <c r="D178" s="77"/>
      <c r="E178" s="77"/>
      <c r="F178" s="77"/>
    </row>
    <row r="179" spans="1:6" x14ac:dyDescent="0.25">
      <c r="A179" s="77"/>
      <c r="B179" s="77"/>
      <c r="C179" s="77"/>
      <c r="D179" s="77"/>
      <c r="E179" s="77"/>
      <c r="F179" s="77"/>
    </row>
    <row r="180" spans="1:6" x14ac:dyDescent="0.25">
      <c r="A180" s="77"/>
      <c r="B180" s="77"/>
      <c r="C180" s="77"/>
      <c r="D180" s="77"/>
      <c r="E180" s="77"/>
      <c r="F180" s="77"/>
    </row>
    <row r="181" spans="1:6" x14ac:dyDescent="0.25">
      <c r="A181" s="77"/>
      <c r="B181" s="77"/>
      <c r="C181" s="77"/>
      <c r="D181" s="77"/>
      <c r="E181" s="77"/>
      <c r="F181" s="77"/>
    </row>
    <row r="182" spans="1:6" x14ac:dyDescent="0.25">
      <c r="A182" s="77"/>
      <c r="B182" s="77"/>
      <c r="C182" s="77"/>
      <c r="D182" s="77"/>
      <c r="E182" s="77"/>
      <c r="F182" s="77"/>
    </row>
    <row r="183" spans="1:6" x14ac:dyDescent="0.25">
      <c r="A183" s="77"/>
      <c r="B183" s="77"/>
      <c r="C183" s="77"/>
      <c r="D183" s="77"/>
      <c r="E183" s="77"/>
      <c r="F183" s="77"/>
    </row>
    <row r="184" spans="1:6" x14ac:dyDescent="0.25">
      <c r="A184" s="77"/>
      <c r="B184" s="77"/>
      <c r="C184" s="77"/>
      <c r="D184" s="77"/>
      <c r="E184" s="77"/>
      <c r="F184" s="77"/>
    </row>
    <row r="185" spans="1:6" x14ac:dyDescent="0.25">
      <c r="A185" s="77"/>
      <c r="B185" s="77"/>
      <c r="C185" s="77"/>
      <c r="D185" s="77"/>
      <c r="E185" s="77"/>
      <c r="F185" s="77"/>
    </row>
    <row r="186" spans="1:6" x14ac:dyDescent="0.25">
      <c r="A186" s="77"/>
      <c r="B186" s="77"/>
      <c r="C186" s="77"/>
      <c r="D186" s="77"/>
      <c r="E186" s="77"/>
      <c r="F186" s="77"/>
    </row>
    <row r="187" spans="1:6" x14ac:dyDescent="0.25">
      <c r="A187" s="77"/>
      <c r="B187" s="77"/>
      <c r="C187" s="77"/>
      <c r="D187" s="77"/>
      <c r="E187" s="77"/>
      <c r="F187" s="77"/>
    </row>
    <row r="188" spans="1:6" x14ac:dyDescent="0.25">
      <c r="A188" s="77"/>
      <c r="B188" s="77"/>
      <c r="C188" s="77"/>
      <c r="D188" s="77"/>
      <c r="E188" s="77"/>
      <c r="F188" s="77"/>
    </row>
    <row r="189" spans="1:6" x14ac:dyDescent="0.25">
      <c r="A189" s="77"/>
      <c r="B189" s="77"/>
      <c r="C189" s="77"/>
      <c r="D189" s="77"/>
      <c r="E189" s="77"/>
      <c r="F189" s="77"/>
    </row>
    <row r="190" spans="1:6" x14ac:dyDescent="0.25">
      <c r="A190" s="77"/>
      <c r="B190" s="77"/>
      <c r="C190" s="77"/>
      <c r="D190" s="77"/>
      <c r="E190" s="77"/>
      <c r="F190" s="77"/>
    </row>
    <row r="191" spans="1:6" x14ac:dyDescent="0.25">
      <c r="A191" s="77"/>
      <c r="B191" s="77"/>
      <c r="C191" s="77"/>
      <c r="D191" s="77"/>
      <c r="E191" s="77"/>
      <c r="F191" s="77"/>
    </row>
    <row r="192" spans="1:6" x14ac:dyDescent="0.25">
      <c r="A192" s="77"/>
      <c r="B192" s="77"/>
      <c r="C192" s="77"/>
      <c r="D192" s="77"/>
      <c r="E192" s="77"/>
      <c r="F192" s="77"/>
    </row>
    <row r="193" spans="1:6" x14ac:dyDescent="0.25">
      <c r="A193" s="77"/>
      <c r="B193" s="77"/>
      <c r="C193" s="77"/>
      <c r="D193" s="77"/>
      <c r="E193" s="77"/>
      <c r="F193" s="77"/>
    </row>
    <row r="194" spans="1:6" x14ac:dyDescent="0.25">
      <c r="A194" s="77"/>
      <c r="B194" s="77"/>
      <c r="C194" s="77"/>
      <c r="D194" s="77"/>
      <c r="E194" s="77"/>
      <c r="F194" s="77"/>
    </row>
    <row r="195" spans="1:6" x14ac:dyDescent="0.25">
      <c r="A195" s="77"/>
      <c r="B195" s="77"/>
      <c r="C195" s="77"/>
      <c r="D195" s="77"/>
      <c r="E195" s="77"/>
      <c r="F195" s="77"/>
    </row>
    <row r="196" spans="1:6" x14ac:dyDescent="0.25">
      <c r="A196" s="77"/>
      <c r="B196" s="77"/>
      <c r="C196" s="77"/>
      <c r="D196" s="77"/>
      <c r="E196" s="77"/>
      <c r="F196" s="77"/>
    </row>
    <row r="197" spans="1:6" x14ac:dyDescent="0.25">
      <c r="A197" s="77"/>
      <c r="B197" s="77"/>
      <c r="C197" s="77"/>
      <c r="D197" s="77"/>
      <c r="E197" s="77"/>
      <c r="F197" s="77"/>
    </row>
    <row r="198" spans="1:6" x14ac:dyDescent="0.25">
      <c r="A198" s="77"/>
      <c r="B198" s="77"/>
      <c r="C198" s="77"/>
      <c r="D198" s="77"/>
      <c r="E198" s="77"/>
      <c r="F198" s="77"/>
    </row>
    <row r="199" spans="1:6" x14ac:dyDescent="0.25">
      <c r="A199" s="77"/>
      <c r="B199" s="77"/>
      <c r="C199" s="77"/>
      <c r="D199" s="77"/>
      <c r="E199" s="77"/>
      <c r="F199" s="77"/>
    </row>
    <row r="200" spans="1:6" x14ac:dyDescent="0.25">
      <c r="A200" s="77"/>
      <c r="B200" s="77"/>
      <c r="C200" s="77"/>
      <c r="D200" s="77"/>
      <c r="E200" s="77"/>
      <c r="F200" s="77"/>
    </row>
    <row r="201" spans="1:6" x14ac:dyDescent="0.25">
      <c r="A201" s="77"/>
      <c r="B201" s="77"/>
      <c r="C201" s="77"/>
      <c r="D201" s="77"/>
      <c r="E201" s="77"/>
      <c r="F201" s="77"/>
    </row>
    <row r="202" spans="1:6" x14ac:dyDescent="0.25">
      <c r="A202" s="77"/>
      <c r="B202" s="77"/>
      <c r="C202" s="77"/>
      <c r="D202" s="77"/>
      <c r="E202" s="77"/>
      <c r="F202" s="77"/>
    </row>
    <row r="203" spans="1:6" x14ac:dyDescent="0.25">
      <c r="A203" s="77"/>
      <c r="B203" s="77"/>
      <c r="C203" s="77"/>
      <c r="D203" s="77"/>
      <c r="E203" s="77"/>
      <c r="F203" s="77"/>
    </row>
    <row r="204" spans="1:6" x14ac:dyDescent="0.25">
      <c r="A204" s="77"/>
      <c r="B204" s="77"/>
      <c r="C204" s="77"/>
      <c r="D204" s="77"/>
      <c r="E204" s="77"/>
      <c r="F204" s="77"/>
    </row>
    <row r="205" spans="1:6" x14ac:dyDescent="0.25">
      <c r="A205" s="77"/>
      <c r="B205" s="77"/>
      <c r="C205" s="77"/>
      <c r="D205" s="77"/>
      <c r="E205" s="77"/>
      <c r="F205" s="77"/>
    </row>
    <row r="206" spans="1:6" x14ac:dyDescent="0.25">
      <c r="A206" s="77"/>
      <c r="B206" s="77"/>
      <c r="C206" s="77"/>
      <c r="D206" s="77"/>
      <c r="E206" s="77"/>
      <c r="F206" s="77"/>
    </row>
    <row r="207" spans="1:6" x14ac:dyDescent="0.25">
      <c r="A207" s="77"/>
      <c r="B207" s="77"/>
      <c r="C207" s="77"/>
      <c r="D207" s="77"/>
      <c r="E207" s="77"/>
      <c r="F207" s="77"/>
    </row>
    <row r="208" spans="1:6" x14ac:dyDescent="0.25">
      <c r="A208" s="77"/>
      <c r="B208" s="77"/>
      <c r="C208" s="77"/>
      <c r="D208" s="77"/>
      <c r="E208" s="77"/>
      <c r="F208" s="77"/>
    </row>
    <row r="209" spans="1:6" x14ac:dyDescent="0.25">
      <c r="A209" s="77"/>
      <c r="B209" s="77"/>
      <c r="C209" s="77"/>
      <c r="D209" s="77"/>
      <c r="E209" s="77"/>
      <c r="F209" s="77"/>
    </row>
    <row r="210" spans="1:6" x14ac:dyDescent="0.25">
      <c r="A210" s="77"/>
      <c r="B210" s="77"/>
      <c r="C210" s="77"/>
      <c r="D210" s="77"/>
      <c r="E210" s="77"/>
      <c r="F210" s="77"/>
    </row>
    <row r="211" spans="1:6" x14ac:dyDescent="0.25">
      <c r="A211" s="77"/>
      <c r="B211" s="77"/>
      <c r="C211" s="77"/>
      <c r="D211" s="77"/>
      <c r="E211" s="77"/>
      <c r="F211" s="77"/>
    </row>
    <row r="212" spans="1:6" x14ac:dyDescent="0.25">
      <c r="A212" s="77"/>
      <c r="B212" s="77"/>
      <c r="C212" s="77"/>
      <c r="D212" s="77"/>
      <c r="E212" s="77"/>
      <c r="F212" s="77"/>
    </row>
    <row r="213" spans="1:6" x14ac:dyDescent="0.25">
      <c r="A213" s="77"/>
      <c r="B213" s="77"/>
      <c r="C213" s="77"/>
      <c r="D213" s="77"/>
      <c r="E213" s="77"/>
      <c r="F213" s="77"/>
    </row>
    <row r="214" spans="1:6" x14ac:dyDescent="0.25">
      <c r="A214" s="77"/>
      <c r="B214" s="77"/>
      <c r="C214" s="77"/>
      <c r="D214" s="77"/>
      <c r="E214" s="77"/>
      <c r="F214" s="77"/>
    </row>
    <row r="215" spans="1:6" x14ac:dyDescent="0.25">
      <c r="A215" s="77"/>
      <c r="B215" s="77"/>
      <c r="C215" s="77"/>
      <c r="D215" s="77"/>
      <c r="E215" s="77"/>
      <c r="F215" s="77"/>
    </row>
    <row r="216" spans="1:6" x14ac:dyDescent="0.25">
      <c r="A216" s="77"/>
      <c r="B216" s="77"/>
      <c r="C216" s="77"/>
      <c r="D216" s="77"/>
      <c r="E216" s="77"/>
      <c r="F216" s="77"/>
    </row>
    <row r="217" spans="1:6" x14ac:dyDescent="0.25">
      <c r="A217" s="77"/>
      <c r="B217" s="77"/>
      <c r="C217" s="77"/>
      <c r="D217" s="77"/>
      <c r="E217" s="77"/>
      <c r="F217" s="77"/>
    </row>
    <row r="218" spans="1:6" x14ac:dyDescent="0.25">
      <c r="A218" s="77"/>
      <c r="B218" s="77"/>
      <c r="C218" s="77"/>
      <c r="D218" s="77"/>
      <c r="E218" s="77"/>
      <c r="F218" s="77"/>
    </row>
    <row r="219" spans="1:6" x14ac:dyDescent="0.25">
      <c r="A219" s="77"/>
      <c r="B219" s="77"/>
      <c r="C219" s="77"/>
      <c r="D219" s="77"/>
      <c r="E219" s="77"/>
      <c r="F219" s="77"/>
    </row>
    <row r="220" spans="1:6" x14ac:dyDescent="0.25">
      <c r="A220" s="77"/>
      <c r="B220" s="77"/>
      <c r="C220" s="77"/>
      <c r="D220" s="77"/>
      <c r="E220" s="77"/>
      <c r="F220" s="77"/>
    </row>
    <row r="221" spans="1:6" x14ac:dyDescent="0.25">
      <c r="A221" s="77"/>
      <c r="B221" s="77"/>
      <c r="C221" s="77"/>
      <c r="D221" s="77"/>
      <c r="E221" s="77"/>
      <c r="F221" s="77"/>
    </row>
    <row r="222" spans="1:6" x14ac:dyDescent="0.25">
      <c r="A222" s="77"/>
      <c r="B222" s="77"/>
      <c r="C222" s="77"/>
      <c r="D222" s="77"/>
      <c r="E222" s="77"/>
      <c r="F222" s="77"/>
    </row>
    <row r="223" spans="1:6" x14ac:dyDescent="0.25">
      <c r="A223" s="77"/>
      <c r="B223" s="77"/>
      <c r="C223" s="77"/>
      <c r="D223" s="77"/>
      <c r="E223" s="77"/>
      <c r="F223" s="77"/>
    </row>
    <row r="224" spans="1:6" x14ac:dyDescent="0.25">
      <c r="A224" s="77"/>
      <c r="B224" s="77"/>
      <c r="C224" s="77"/>
      <c r="D224" s="77"/>
      <c r="E224" s="77"/>
      <c r="F224" s="77"/>
    </row>
    <row r="225" spans="1:6" x14ac:dyDescent="0.25">
      <c r="A225" s="77"/>
      <c r="B225" s="77"/>
      <c r="C225" s="77"/>
      <c r="D225" s="77"/>
      <c r="E225" s="77"/>
      <c r="F225" s="77"/>
    </row>
    <row r="226" spans="1:6" x14ac:dyDescent="0.25">
      <c r="A226" s="77"/>
      <c r="B226" s="77"/>
      <c r="C226" s="77"/>
      <c r="D226" s="77"/>
      <c r="E226" s="77"/>
      <c r="F226" s="77"/>
    </row>
    <row r="227" spans="1:6" x14ac:dyDescent="0.25">
      <c r="A227" s="77"/>
      <c r="B227" s="77"/>
      <c r="C227" s="77"/>
      <c r="D227" s="77"/>
      <c r="E227" s="77"/>
      <c r="F227" s="77"/>
    </row>
    <row r="228" spans="1:6" x14ac:dyDescent="0.25">
      <c r="A228" s="77"/>
      <c r="B228" s="77"/>
      <c r="C228" s="77"/>
      <c r="D228" s="77"/>
      <c r="E228" s="77"/>
      <c r="F228" s="77"/>
    </row>
    <row r="229" spans="1:6" x14ac:dyDescent="0.25">
      <c r="A229" s="77"/>
      <c r="B229" s="77"/>
      <c r="C229" s="77"/>
      <c r="D229" s="77"/>
      <c r="E229" s="77"/>
      <c r="F229" s="77"/>
    </row>
    <row r="230" spans="1:6" x14ac:dyDescent="0.25">
      <c r="A230" s="77"/>
      <c r="B230" s="77"/>
      <c r="C230" s="77"/>
      <c r="D230" s="77"/>
      <c r="E230" s="77"/>
      <c r="F230" s="77"/>
    </row>
    <row r="231" spans="1:6" x14ac:dyDescent="0.25">
      <c r="A231" s="77"/>
      <c r="B231" s="77"/>
      <c r="C231" s="77"/>
      <c r="D231" s="77"/>
      <c r="E231" s="77"/>
      <c r="F231" s="77"/>
    </row>
    <row r="232" spans="1:6" x14ac:dyDescent="0.25">
      <c r="A232" s="77"/>
      <c r="B232" s="77"/>
      <c r="C232" s="77"/>
      <c r="D232" s="77"/>
      <c r="E232" s="77"/>
      <c r="F232" s="77"/>
    </row>
    <row r="233" spans="1:6" x14ac:dyDescent="0.25">
      <c r="A233" s="77"/>
      <c r="B233" s="77"/>
      <c r="C233" s="77"/>
      <c r="D233" s="77"/>
      <c r="E233" s="77"/>
      <c r="F233" s="77"/>
    </row>
    <row r="234" spans="1:6" x14ac:dyDescent="0.25">
      <c r="A234" s="77"/>
      <c r="B234" s="77"/>
      <c r="C234" s="77"/>
      <c r="D234" s="77"/>
      <c r="E234" s="77"/>
      <c r="F234" s="77"/>
    </row>
    <row r="235" spans="1:6" x14ac:dyDescent="0.25">
      <c r="A235" s="77"/>
      <c r="B235" s="77"/>
      <c r="C235" s="77"/>
      <c r="D235" s="77"/>
      <c r="E235" s="77"/>
      <c r="F235" s="77"/>
    </row>
    <row r="236" spans="1:6" x14ac:dyDescent="0.25">
      <c r="A236" s="77"/>
      <c r="B236" s="77"/>
      <c r="C236" s="77"/>
      <c r="D236" s="77"/>
      <c r="E236" s="77"/>
      <c r="F236" s="77"/>
    </row>
    <row r="237" spans="1:6" x14ac:dyDescent="0.25">
      <c r="A237" s="77"/>
      <c r="B237" s="77"/>
      <c r="C237" s="77"/>
      <c r="D237" s="77"/>
      <c r="E237" s="77"/>
      <c r="F237" s="77"/>
    </row>
    <row r="238" spans="1:6" x14ac:dyDescent="0.25">
      <c r="A238" s="77"/>
      <c r="B238" s="77"/>
      <c r="C238" s="77"/>
      <c r="D238" s="77"/>
      <c r="E238" s="77"/>
      <c r="F238" s="77"/>
    </row>
  </sheetData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autoLine="0" r:id="rId5">
            <anchor moveWithCells="1">
              <from>
                <xdr:col>1</xdr:col>
                <xdr:colOff>85725</xdr:colOff>
                <xdr:row>0</xdr:row>
                <xdr:rowOff>57150</xdr:rowOff>
              </from>
              <to>
                <xdr:col>2</xdr:col>
                <xdr:colOff>914400</xdr:colOff>
                <xdr:row>1</xdr:row>
                <xdr:rowOff>142875</xdr:rowOff>
              </to>
            </anchor>
          </controlPr>
        </control>
      </mc:Choice>
      <mc:Fallback>
        <control shapeId="1228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I378"/>
  <sheetViews>
    <sheetView showGridLines="0" showRowColHeaders="0" showRuler="0" view="pageLayout" zoomScaleNormal="100" workbookViewId="0">
      <selection activeCell="C7" sqref="C7"/>
    </sheetView>
  </sheetViews>
  <sheetFormatPr defaultColWidth="9.140625" defaultRowHeight="15" x14ac:dyDescent="0.25"/>
  <cols>
    <col min="1" max="1" width="8.7109375" customWidth="1"/>
    <col min="2" max="2" width="2.7109375" customWidth="1"/>
    <col min="3" max="3" width="55.7109375" customWidth="1"/>
    <col min="4" max="4" width="9.5703125" customWidth="1"/>
    <col min="5" max="5" width="9.140625" customWidth="1"/>
    <col min="6" max="6" width="10.5703125" customWidth="1"/>
  </cols>
  <sheetData>
    <row r="1" spans="1:9" ht="30" customHeight="1" x14ac:dyDescent="0.25">
      <c r="A1" s="22"/>
      <c r="D1" s="22"/>
      <c r="E1" s="22"/>
      <c r="F1" s="22"/>
    </row>
    <row r="2" spans="1:9" x14ac:dyDescent="0.25">
      <c r="A2" s="47" t="s">
        <v>380</v>
      </c>
      <c r="C2" s="52" t="s">
        <v>218</v>
      </c>
      <c r="D2" s="70"/>
      <c r="E2" s="70"/>
      <c r="F2" s="70"/>
      <c r="G2" s="48"/>
      <c r="H2" s="48"/>
      <c r="I2" s="48"/>
    </row>
    <row r="3" spans="1:9" x14ac:dyDescent="0.25">
      <c r="A3" s="47"/>
      <c r="D3" s="22"/>
      <c r="E3" s="22"/>
      <c r="F3" s="22"/>
    </row>
    <row r="4" spans="1:9" ht="9.9499999999999993" customHeight="1" x14ac:dyDescent="0.25">
      <c r="A4" s="47"/>
      <c r="D4" s="22"/>
      <c r="E4" s="22"/>
      <c r="F4" s="22"/>
    </row>
    <row r="5" spans="1:9" ht="9.9499999999999993" customHeight="1" x14ac:dyDescent="0.25">
      <c r="A5" s="47"/>
      <c r="D5" s="22"/>
      <c r="E5" s="22"/>
      <c r="F5" s="22"/>
    </row>
    <row r="6" spans="1:9" ht="9.9499999999999993" customHeight="1" x14ac:dyDescent="0.25">
      <c r="A6" s="47"/>
      <c r="D6" s="22"/>
      <c r="E6" s="22"/>
      <c r="F6" s="22"/>
    </row>
    <row r="7" spans="1:9" x14ac:dyDescent="0.25">
      <c r="A7" s="47"/>
      <c r="D7" s="22"/>
      <c r="E7" s="22"/>
      <c r="F7" s="22"/>
    </row>
    <row r="8" spans="1:9" x14ac:dyDescent="0.25">
      <c r="A8" s="47"/>
      <c r="C8" s="50" t="s">
        <v>251</v>
      </c>
      <c r="D8" s="22"/>
      <c r="E8" s="22"/>
      <c r="F8" s="22"/>
    </row>
    <row r="9" spans="1:9" x14ac:dyDescent="0.25">
      <c r="A9" s="47"/>
      <c r="D9" s="22"/>
      <c r="E9" s="22"/>
      <c r="F9" s="71"/>
    </row>
    <row r="10" spans="1:9" x14ac:dyDescent="0.25">
      <c r="A10" s="47"/>
      <c r="C10" t="s">
        <v>219</v>
      </c>
      <c r="D10" s="18"/>
      <c r="E10" s="62" t="s">
        <v>0</v>
      </c>
    </row>
    <row r="11" spans="1:9" ht="18" x14ac:dyDescent="0.35">
      <c r="A11" s="47"/>
      <c r="C11" t="s">
        <v>220</v>
      </c>
      <c r="D11" t="s">
        <v>221</v>
      </c>
      <c r="E11" s="62">
        <v>30</v>
      </c>
      <c r="F11" t="s">
        <v>151</v>
      </c>
    </row>
    <row r="12" spans="1:9" x14ac:dyDescent="0.25">
      <c r="A12" s="47"/>
      <c r="C12" t="s">
        <v>222</v>
      </c>
      <c r="D12" s="18"/>
      <c r="E12" s="62" t="s">
        <v>12</v>
      </c>
    </row>
    <row r="13" spans="1:9" ht="18" x14ac:dyDescent="0.35">
      <c r="A13" s="47"/>
      <c r="C13" t="s">
        <v>223</v>
      </c>
      <c r="D13" t="s">
        <v>224</v>
      </c>
      <c r="E13" s="62">
        <v>200</v>
      </c>
      <c r="F13" t="s">
        <v>151</v>
      </c>
    </row>
    <row r="14" spans="1:9" x14ac:dyDescent="0.25">
      <c r="A14" s="47"/>
      <c r="C14" t="s">
        <v>248</v>
      </c>
      <c r="D14" s="18"/>
      <c r="E14" s="62" t="s">
        <v>131</v>
      </c>
    </row>
    <row r="15" spans="1:9" x14ac:dyDescent="0.25">
      <c r="A15" s="47"/>
      <c r="E15" s="62"/>
    </row>
    <row r="16" spans="1:9" x14ac:dyDescent="0.25">
      <c r="A16" s="47"/>
      <c r="C16" t="s">
        <v>228</v>
      </c>
      <c r="D16" t="s">
        <v>229</v>
      </c>
      <c r="E16" s="62">
        <v>6</v>
      </c>
      <c r="F16" t="s">
        <v>25</v>
      </c>
    </row>
    <row r="17" spans="1:6" x14ac:dyDescent="0.25">
      <c r="A17" s="47"/>
      <c r="C17" t="s">
        <v>225</v>
      </c>
      <c r="D17" t="s">
        <v>226</v>
      </c>
      <c r="E17" s="62" t="s">
        <v>411</v>
      </c>
      <c r="F17" t="s">
        <v>25</v>
      </c>
    </row>
    <row r="18" spans="1:6" x14ac:dyDescent="0.25">
      <c r="A18" s="47"/>
      <c r="C18" t="s">
        <v>414</v>
      </c>
      <c r="D18" t="s">
        <v>227</v>
      </c>
      <c r="E18" s="62" t="s">
        <v>412</v>
      </c>
      <c r="F18" t="s">
        <v>25</v>
      </c>
    </row>
    <row r="19" spans="1:6" x14ac:dyDescent="0.25">
      <c r="A19" s="47"/>
      <c r="E19" s="62"/>
    </row>
    <row r="20" spans="1:6" ht="18" x14ac:dyDescent="0.35">
      <c r="A20" s="47"/>
      <c r="C20" t="s">
        <v>378</v>
      </c>
      <c r="D20" t="s">
        <v>230</v>
      </c>
      <c r="E20" s="62">
        <v>5</v>
      </c>
      <c r="F20" t="s">
        <v>27</v>
      </c>
    </row>
    <row r="21" spans="1:6" ht="18" x14ac:dyDescent="0.35">
      <c r="A21" s="47"/>
      <c r="C21" t="s">
        <v>379</v>
      </c>
      <c r="D21" t="s">
        <v>231</v>
      </c>
      <c r="E21" s="62">
        <v>10</v>
      </c>
      <c r="F21" t="s">
        <v>27</v>
      </c>
    </row>
    <row r="22" spans="1:6" x14ac:dyDescent="0.25">
      <c r="A22" s="47"/>
      <c r="E22" s="62"/>
    </row>
    <row r="23" spans="1:6" x14ac:dyDescent="0.25">
      <c r="A23" s="47"/>
      <c r="C23" t="s">
        <v>232</v>
      </c>
      <c r="D23" s="6" t="s">
        <v>236</v>
      </c>
      <c r="E23" s="62">
        <v>16</v>
      </c>
      <c r="F23" t="s">
        <v>21</v>
      </c>
    </row>
    <row r="24" spans="1:6" x14ac:dyDescent="0.25">
      <c r="A24" s="47"/>
      <c r="C24" t="s">
        <v>233</v>
      </c>
      <c r="D24" t="s">
        <v>246</v>
      </c>
      <c r="E24" s="62">
        <v>5</v>
      </c>
      <c r="F24" t="s">
        <v>245</v>
      </c>
    </row>
    <row r="25" spans="1:6" ht="18" x14ac:dyDescent="0.35">
      <c r="A25" s="47"/>
      <c r="C25" t="s">
        <v>234</v>
      </c>
      <c r="D25" t="s">
        <v>237</v>
      </c>
      <c r="E25" s="62">
        <v>0</v>
      </c>
      <c r="F25" t="s">
        <v>21</v>
      </c>
    </row>
    <row r="26" spans="1:6" x14ac:dyDescent="0.25">
      <c r="A26" s="47"/>
      <c r="C26" t="s">
        <v>235</v>
      </c>
      <c r="D26" t="s">
        <v>238</v>
      </c>
      <c r="E26" s="62">
        <v>30</v>
      </c>
      <c r="F26" t="s">
        <v>21</v>
      </c>
    </row>
    <row r="27" spans="1:6" x14ac:dyDescent="0.25">
      <c r="A27" s="47"/>
      <c r="E27" s="62"/>
    </row>
    <row r="28" spans="1:6" x14ac:dyDescent="0.25">
      <c r="A28" s="47"/>
      <c r="C28" t="s">
        <v>249</v>
      </c>
      <c r="D28" t="s">
        <v>250</v>
      </c>
      <c r="E28" s="62">
        <v>20</v>
      </c>
      <c r="F28" t="s">
        <v>216</v>
      </c>
    </row>
    <row r="29" spans="1:6" x14ac:dyDescent="0.25">
      <c r="A29" s="47"/>
      <c r="C29" t="s">
        <v>239</v>
      </c>
      <c r="D29" t="s">
        <v>36</v>
      </c>
      <c r="E29" s="62">
        <v>40</v>
      </c>
      <c r="F29" t="s">
        <v>37</v>
      </c>
    </row>
    <row r="30" spans="1:6" ht="18" x14ac:dyDescent="0.35">
      <c r="A30" s="47"/>
      <c r="C30" t="s">
        <v>240</v>
      </c>
      <c r="D30" t="s">
        <v>241</v>
      </c>
      <c r="E30" s="62">
        <v>28</v>
      </c>
      <c r="F30" t="s">
        <v>66</v>
      </c>
    </row>
    <row r="31" spans="1:6" ht="18" x14ac:dyDescent="0.35">
      <c r="A31" s="47"/>
      <c r="C31" t="s">
        <v>419</v>
      </c>
      <c r="D31" t="s">
        <v>247</v>
      </c>
      <c r="E31" s="62">
        <v>7</v>
      </c>
      <c r="F31" t="s">
        <v>66</v>
      </c>
    </row>
    <row r="32" spans="1:6" x14ac:dyDescent="0.25">
      <c r="A32" s="47"/>
      <c r="C32" t="s">
        <v>242</v>
      </c>
      <c r="D32" s="58" t="s">
        <v>257</v>
      </c>
    </row>
    <row r="33" spans="1:6" ht="18" x14ac:dyDescent="0.35">
      <c r="A33" s="47"/>
      <c r="C33" t="s">
        <v>265</v>
      </c>
      <c r="D33" t="s">
        <v>243</v>
      </c>
      <c r="E33">
        <v>0.7</v>
      </c>
      <c r="F33" t="s">
        <v>84</v>
      </c>
    </row>
    <row r="34" spans="1:6" ht="18" x14ac:dyDescent="0.35">
      <c r="A34" s="47"/>
      <c r="D34" t="s">
        <v>244</v>
      </c>
      <c r="E34">
        <v>0.6</v>
      </c>
      <c r="F34" t="s">
        <v>84</v>
      </c>
    </row>
    <row r="35" spans="1:6" x14ac:dyDescent="0.25">
      <c r="A35" s="47"/>
    </row>
    <row r="36" spans="1:6" x14ac:dyDescent="0.25">
      <c r="A36" s="47"/>
      <c r="C36" s="50" t="s">
        <v>260</v>
      </c>
    </row>
    <row r="37" spans="1:6" x14ac:dyDescent="0.25">
      <c r="A37" s="47"/>
    </row>
    <row r="38" spans="1:6" x14ac:dyDescent="0.25">
      <c r="A38" s="47"/>
      <c r="C38" s="50" t="s">
        <v>275</v>
      </c>
    </row>
    <row r="39" spans="1:6" ht="12.75" customHeight="1" x14ac:dyDescent="0.25">
      <c r="A39" s="47"/>
    </row>
    <row r="40" spans="1:6" ht="18" x14ac:dyDescent="0.35">
      <c r="A40" s="47"/>
      <c r="C40" t="s">
        <v>263</v>
      </c>
      <c r="D40" t="s">
        <v>266</v>
      </c>
      <c r="E40">
        <v>20</v>
      </c>
      <c r="F40" t="s">
        <v>44</v>
      </c>
    </row>
    <row r="41" spans="1:6" ht="18" x14ac:dyDescent="0.35">
      <c r="A41" s="47"/>
      <c r="C41" t="s">
        <v>264</v>
      </c>
      <c r="D41" t="s">
        <v>267</v>
      </c>
      <c r="E41">
        <v>28</v>
      </c>
      <c r="F41" t="s">
        <v>44</v>
      </c>
    </row>
    <row r="42" spans="1:6" ht="18" x14ac:dyDescent="0.35">
      <c r="A42" s="47"/>
      <c r="C42" t="s">
        <v>416</v>
      </c>
      <c r="D42" t="s">
        <v>417</v>
      </c>
      <c r="E42">
        <v>2.2000000000000002</v>
      </c>
      <c r="F42" t="s">
        <v>44</v>
      </c>
    </row>
    <row r="43" spans="1:6" ht="18.75" x14ac:dyDescent="0.35">
      <c r="A43" s="47"/>
      <c r="C43" t="s">
        <v>268</v>
      </c>
      <c r="D43" t="s">
        <v>269</v>
      </c>
      <c r="E43">
        <v>0.1125</v>
      </c>
      <c r="F43" t="s">
        <v>270</v>
      </c>
    </row>
    <row r="44" spans="1:6" ht="18" x14ac:dyDescent="0.35">
      <c r="A44" s="47"/>
      <c r="C44" t="s">
        <v>272</v>
      </c>
      <c r="D44" t="s">
        <v>271</v>
      </c>
      <c r="E44">
        <v>500</v>
      </c>
      <c r="F44" t="s">
        <v>44</v>
      </c>
    </row>
    <row r="45" spans="1:6" ht="18.75" x14ac:dyDescent="0.35">
      <c r="A45" s="47"/>
      <c r="C45" t="s">
        <v>278</v>
      </c>
      <c r="D45" t="s">
        <v>273</v>
      </c>
      <c r="E45">
        <v>1005.31</v>
      </c>
      <c r="F45" t="s">
        <v>274</v>
      </c>
    </row>
    <row r="46" spans="1:6" ht="18" x14ac:dyDescent="0.35">
      <c r="A46" s="47"/>
      <c r="C46" t="s">
        <v>279</v>
      </c>
      <c r="D46" t="s">
        <v>277</v>
      </c>
      <c r="E46">
        <v>38</v>
      </c>
      <c r="F46" t="s">
        <v>59</v>
      </c>
    </row>
    <row r="47" spans="1:6" x14ac:dyDescent="0.25">
      <c r="A47" s="47"/>
      <c r="C47" t="s">
        <v>280</v>
      </c>
      <c r="D47" t="s">
        <v>276</v>
      </c>
      <c r="E47">
        <v>0.41199999999999998</v>
      </c>
      <c r="F47" t="s">
        <v>25</v>
      </c>
    </row>
    <row r="48" spans="1:6" x14ac:dyDescent="0.25">
      <c r="A48" s="47"/>
    </row>
    <row r="49" spans="1:6" x14ac:dyDescent="0.25">
      <c r="A49" s="47" t="s">
        <v>381</v>
      </c>
      <c r="C49" s="50" t="s">
        <v>281</v>
      </c>
    </row>
    <row r="50" spans="1:6" x14ac:dyDescent="0.25">
      <c r="A50" s="47"/>
    </row>
    <row r="51" spans="1:6" ht="18" x14ac:dyDescent="0.35">
      <c r="A51" s="47"/>
      <c r="C51" t="s">
        <v>282</v>
      </c>
      <c r="D51" t="s">
        <v>288</v>
      </c>
      <c r="E51">
        <v>11</v>
      </c>
      <c r="F51" t="s">
        <v>27</v>
      </c>
    </row>
    <row r="52" spans="1:6" ht="18" x14ac:dyDescent="0.35">
      <c r="A52" s="47"/>
      <c r="C52" t="s">
        <v>291</v>
      </c>
      <c r="D52" t="s">
        <v>285</v>
      </c>
      <c r="E52">
        <v>49.5</v>
      </c>
      <c r="F52" t="s">
        <v>28</v>
      </c>
    </row>
    <row r="53" spans="1:6" ht="18" x14ac:dyDescent="0.35">
      <c r="A53" s="47"/>
      <c r="C53" t="s">
        <v>283</v>
      </c>
      <c r="D53" t="s">
        <v>289</v>
      </c>
      <c r="E53">
        <v>12</v>
      </c>
      <c r="F53" t="s">
        <v>27</v>
      </c>
    </row>
    <row r="54" spans="1:6" ht="18" x14ac:dyDescent="0.35">
      <c r="A54" s="47"/>
      <c r="C54" t="s">
        <v>292</v>
      </c>
      <c r="D54" t="s">
        <v>286</v>
      </c>
      <c r="E54">
        <v>54</v>
      </c>
      <c r="F54" t="s">
        <v>28</v>
      </c>
    </row>
    <row r="55" spans="1:6" ht="18" x14ac:dyDescent="0.35">
      <c r="A55" s="47"/>
      <c r="C55" t="s">
        <v>284</v>
      </c>
      <c r="D55" t="s">
        <v>290</v>
      </c>
      <c r="E55">
        <v>15</v>
      </c>
      <c r="F55" t="s">
        <v>27</v>
      </c>
    </row>
    <row r="56" spans="1:6" ht="18" x14ac:dyDescent="0.35">
      <c r="A56" s="47"/>
      <c r="C56" t="s">
        <v>293</v>
      </c>
      <c r="D56" t="s">
        <v>287</v>
      </c>
      <c r="E56">
        <v>67.5</v>
      </c>
      <c r="F56" t="s">
        <v>28</v>
      </c>
    </row>
    <row r="57" spans="1:6" x14ac:dyDescent="0.25">
      <c r="A57" s="47"/>
    </row>
    <row r="58" spans="1:6" x14ac:dyDescent="0.25">
      <c r="A58" s="47"/>
      <c r="C58" s="50" t="s">
        <v>296</v>
      </c>
    </row>
    <row r="59" spans="1:6" x14ac:dyDescent="0.25">
      <c r="A59" s="47"/>
    </row>
    <row r="60" spans="1:6" x14ac:dyDescent="0.25">
      <c r="A60" s="47"/>
      <c r="C60" s="50" t="s">
        <v>357</v>
      </c>
    </row>
    <row r="61" spans="1:6" x14ac:dyDescent="0.25">
      <c r="A61" s="47"/>
    </row>
    <row r="62" spans="1:6" ht="18" x14ac:dyDescent="0.35">
      <c r="A62" s="47"/>
      <c r="C62" t="s">
        <v>363</v>
      </c>
      <c r="D62" t="s">
        <v>294</v>
      </c>
      <c r="E62" s="1">
        <v>24</v>
      </c>
      <c r="F62" t="s">
        <v>21</v>
      </c>
    </row>
    <row r="63" spans="1:6" x14ac:dyDescent="0.25">
      <c r="A63" s="47"/>
    </row>
    <row r="64" spans="1:6" x14ac:dyDescent="0.25">
      <c r="A64" s="47"/>
      <c r="C64" s="50" t="s">
        <v>295</v>
      </c>
    </row>
    <row r="65" spans="1:6" x14ac:dyDescent="0.25">
      <c r="A65" s="47"/>
    </row>
    <row r="66" spans="1:6" ht="18" x14ac:dyDescent="0.35">
      <c r="A66" s="47"/>
      <c r="C66" t="s">
        <v>297</v>
      </c>
      <c r="D66" t="s">
        <v>241</v>
      </c>
      <c r="E66">
        <v>28</v>
      </c>
      <c r="F66" t="s">
        <v>66</v>
      </c>
    </row>
    <row r="67" spans="1:6" ht="18" x14ac:dyDescent="0.35">
      <c r="A67" s="47"/>
      <c r="C67" t="s">
        <v>419</v>
      </c>
      <c r="D67" t="s">
        <v>247</v>
      </c>
      <c r="E67">
        <v>7</v>
      </c>
      <c r="F67" t="s">
        <v>66</v>
      </c>
    </row>
    <row r="68" spans="1:6" ht="18" x14ac:dyDescent="0.35">
      <c r="A68" s="47"/>
      <c r="C68" t="s">
        <v>298</v>
      </c>
      <c r="D68" t="s">
        <v>299</v>
      </c>
      <c r="E68">
        <v>0.16070000000000001</v>
      </c>
      <c r="F68" t="s">
        <v>21</v>
      </c>
    </row>
    <row r="69" spans="1:6" x14ac:dyDescent="0.25">
      <c r="A69" s="47"/>
      <c r="D69" s="6"/>
    </row>
    <row r="70" spans="1:6" x14ac:dyDescent="0.25">
      <c r="A70" s="47"/>
      <c r="C70" s="50" t="s">
        <v>354</v>
      </c>
    </row>
    <row r="71" spans="1:6" x14ac:dyDescent="0.25">
      <c r="A71" s="47"/>
    </row>
    <row r="72" spans="1:6" ht="18" x14ac:dyDescent="0.35">
      <c r="A72" s="47"/>
      <c r="C72" t="s">
        <v>300</v>
      </c>
      <c r="D72" s="6" t="s">
        <v>301</v>
      </c>
      <c r="E72">
        <v>3.26</v>
      </c>
      <c r="F72" t="s">
        <v>84</v>
      </c>
    </row>
    <row r="73" spans="1:6" ht="18" x14ac:dyDescent="0.35">
      <c r="A73" s="47"/>
      <c r="C73" t="s">
        <v>352</v>
      </c>
      <c r="D73" s="6" t="s">
        <v>309</v>
      </c>
      <c r="E73">
        <v>7.04</v>
      </c>
      <c r="F73" t="s">
        <v>151</v>
      </c>
    </row>
    <row r="74" spans="1:6" ht="18" x14ac:dyDescent="0.35">
      <c r="A74" s="47"/>
      <c r="C74" t="s">
        <v>308</v>
      </c>
      <c r="D74" s="6" t="s">
        <v>310</v>
      </c>
      <c r="E74" s="1">
        <v>28.41</v>
      </c>
      <c r="F74" t="s">
        <v>84</v>
      </c>
    </row>
    <row r="75" spans="1:6" x14ac:dyDescent="0.25">
      <c r="A75" s="47"/>
    </row>
    <row r="76" spans="1:6" x14ac:dyDescent="0.25">
      <c r="A76" s="47"/>
      <c r="C76" s="18" t="s">
        <v>333</v>
      </c>
    </row>
    <row r="77" spans="1:6" x14ac:dyDescent="0.25">
      <c r="A77" s="47"/>
    </row>
    <row r="78" spans="1:6" ht="18.75" x14ac:dyDescent="0.35">
      <c r="A78" s="47"/>
      <c r="C78" t="s">
        <v>313</v>
      </c>
      <c r="D78" s="6" t="s">
        <v>336</v>
      </c>
      <c r="E78">
        <v>0.14107</v>
      </c>
      <c r="F78" t="s">
        <v>270</v>
      </c>
    </row>
    <row r="79" spans="1:6" ht="18" x14ac:dyDescent="0.35">
      <c r="A79" s="47"/>
      <c r="C79" t="s">
        <v>315</v>
      </c>
      <c r="D79" s="6" t="s">
        <v>337</v>
      </c>
      <c r="E79">
        <v>0.26286999999999999</v>
      </c>
      <c r="F79" t="s">
        <v>86</v>
      </c>
    </row>
    <row r="80" spans="1:6" ht="18.75" x14ac:dyDescent="0.35">
      <c r="A80" s="47"/>
      <c r="C80" t="s">
        <v>317</v>
      </c>
      <c r="D80" s="6" t="s">
        <v>338</v>
      </c>
      <c r="E80">
        <v>2.6949999999999999E-3</v>
      </c>
      <c r="F80" t="s">
        <v>319</v>
      </c>
    </row>
    <row r="81" spans="1:6" ht="18.75" x14ac:dyDescent="0.35">
      <c r="A81" s="47"/>
      <c r="C81" t="s">
        <v>339</v>
      </c>
      <c r="D81" s="6" t="s">
        <v>340</v>
      </c>
      <c r="E81">
        <v>18.97</v>
      </c>
      <c r="F81" t="s">
        <v>341</v>
      </c>
    </row>
    <row r="82" spans="1:6" ht="18.75" x14ac:dyDescent="0.35">
      <c r="A82" s="47"/>
      <c r="C82" t="s">
        <v>342</v>
      </c>
      <c r="D82" s="6" t="s">
        <v>343</v>
      </c>
      <c r="E82">
        <v>5.2720000000000003E-2</v>
      </c>
      <c r="F82" t="s">
        <v>344</v>
      </c>
    </row>
    <row r="83" spans="1:6" ht="18" x14ac:dyDescent="0.35">
      <c r="A83" s="47"/>
      <c r="C83" t="s">
        <v>345</v>
      </c>
      <c r="D83" s="6" t="s">
        <v>418</v>
      </c>
      <c r="E83">
        <v>31.68</v>
      </c>
      <c r="F83" t="s">
        <v>28</v>
      </c>
    </row>
    <row r="84" spans="1:6" ht="18" x14ac:dyDescent="0.35">
      <c r="A84" s="47"/>
      <c r="C84" t="s">
        <v>291</v>
      </c>
      <c r="D84" t="s">
        <v>285</v>
      </c>
      <c r="E84">
        <v>49.5</v>
      </c>
      <c r="F84" t="s">
        <v>28</v>
      </c>
    </row>
    <row r="85" spans="1:6" x14ac:dyDescent="0.25">
      <c r="A85" s="47"/>
    </row>
    <row r="86" spans="1:6" ht="18" x14ac:dyDescent="0.35">
      <c r="A86" s="47"/>
      <c r="C86" s="51" t="s">
        <v>356</v>
      </c>
      <c r="D86" s="64" t="s">
        <v>370</v>
      </c>
      <c r="E86" s="15"/>
      <c r="F86" s="15" t="s">
        <v>371</v>
      </c>
    </row>
    <row r="87" spans="1:6" x14ac:dyDescent="0.25">
      <c r="A87" s="47"/>
      <c r="C87" s="63" t="s">
        <v>426</v>
      </c>
      <c r="D87" s="66">
        <v>49.5</v>
      </c>
      <c r="E87" s="15" t="s">
        <v>408</v>
      </c>
      <c r="F87" s="42">
        <v>31.68</v>
      </c>
    </row>
    <row r="88" spans="1:6" x14ac:dyDescent="0.25">
      <c r="A88" s="47"/>
      <c r="C88" s="63" t="s">
        <v>421</v>
      </c>
      <c r="D88" s="65">
        <v>54</v>
      </c>
      <c r="E88" s="15" t="s">
        <v>408</v>
      </c>
      <c r="F88" s="42">
        <v>31.68</v>
      </c>
    </row>
    <row r="89" spans="1:6" x14ac:dyDescent="0.25">
      <c r="A89" s="47"/>
      <c r="C89" s="63" t="s">
        <v>420</v>
      </c>
      <c r="D89" s="65">
        <v>67.5</v>
      </c>
      <c r="E89" s="15" t="s">
        <v>408</v>
      </c>
      <c r="F89" s="42">
        <v>31.68</v>
      </c>
    </row>
    <row r="90" spans="1:6" x14ac:dyDescent="0.25">
      <c r="A90" s="47"/>
    </row>
    <row r="91" spans="1:6" x14ac:dyDescent="0.25">
      <c r="A91" s="47"/>
    </row>
    <row r="92" spans="1:6" x14ac:dyDescent="0.25">
      <c r="A92" s="47"/>
      <c r="F92" s="12"/>
    </row>
    <row r="93" spans="1:6" x14ac:dyDescent="0.25">
      <c r="A93" s="47"/>
    </row>
    <row r="94" spans="1:6" x14ac:dyDescent="0.25">
      <c r="A94" s="47" t="s">
        <v>382</v>
      </c>
      <c r="C94" s="18" t="s">
        <v>334</v>
      </c>
    </row>
    <row r="95" spans="1:6" x14ac:dyDescent="0.25">
      <c r="A95" s="47"/>
    </row>
    <row r="96" spans="1:6" ht="18" x14ac:dyDescent="0.35">
      <c r="A96" s="47"/>
      <c r="C96" t="s">
        <v>323</v>
      </c>
      <c r="D96" s="6" t="s">
        <v>347</v>
      </c>
      <c r="E96" s="12">
        <v>0.21299999999999999</v>
      </c>
      <c r="F96" t="s">
        <v>25</v>
      </c>
    </row>
    <row r="97" spans="1:6" ht="18.75" x14ac:dyDescent="0.35">
      <c r="A97" s="47"/>
      <c r="C97" t="s">
        <v>325</v>
      </c>
      <c r="D97" s="6" t="s">
        <v>348</v>
      </c>
      <c r="E97" s="12">
        <v>1.9369999999999999E-3</v>
      </c>
      <c r="F97" t="s">
        <v>319</v>
      </c>
    </row>
    <row r="98" spans="1:6" ht="18.75" x14ac:dyDescent="0.35">
      <c r="A98" s="47"/>
      <c r="C98" t="s">
        <v>339</v>
      </c>
      <c r="D98" s="6" t="s">
        <v>349</v>
      </c>
      <c r="E98" s="12">
        <v>13.63</v>
      </c>
      <c r="F98" t="s">
        <v>341</v>
      </c>
    </row>
    <row r="99" spans="1:6" ht="18.75" x14ac:dyDescent="0.35">
      <c r="A99" s="47"/>
      <c r="C99" t="s">
        <v>342</v>
      </c>
      <c r="D99" s="6" t="s">
        <v>350</v>
      </c>
      <c r="E99" s="12">
        <v>7.3370000000000005E-2</v>
      </c>
      <c r="F99" t="s">
        <v>344</v>
      </c>
    </row>
    <row r="100" spans="1:6" ht="18" x14ac:dyDescent="0.35">
      <c r="A100" s="47"/>
      <c r="C100" t="s">
        <v>358</v>
      </c>
      <c r="D100" s="56" t="s">
        <v>367</v>
      </c>
      <c r="E100" s="68">
        <v>0.79510000000000003</v>
      </c>
      <c r="F100" t="s">
        <v>84</v>
      </c>
    </row>
    <row r="101" spans="1:6" ht="18.75" x14ac:dyDescent="0.35">
      <c r="A101" s="47"/>
      <c r="C101" t="s">
        <v>351</v>
      </c>
      <c r="D101" s="6" t="s">
        <v>359</v>
      </c>
      <c r="E101" s="12">
        <v>3.4220000000000001E-3</v>
      </c>
      <c r="F101" t="s">
        <v>330</v>
      </c>
    </row>
    <row r="102" spans="1:6" ht="18" x14ac:dyDescent="0.35">
      <c r="A102" s="47"/>
      <c r="C102" t="s">
        <v>353</v>
      </c>
      <c r="D102" s="6" t="s">
        <v>360</v>
      </c>
      <c r="E102" s="12">
        <v>12.83</v>
      </c>
      <c r="F102" t="s">
        <v>21</v>
      </c>
    </row>
    <row r="103" spans="1:6" x14ac:dyDescent="0.25">
      <c r="A103" s="47"/>
    </row>
    <row r="104" spans="1:6" x14ac:dyDescent="0.25">
      <c r="A104" s="47"/>
      <c r="C104" s="50" t="s">
        <v>355</v>
      </c>
      <c r="D104" s="6"/>
    </row>
    <row r="105" spans="1:6" x14ac:dyDescent="0.25">
      <c r="A105" s="47"/>
      <c r="D105" s="6"/>
    </row>
    <row r="106" spans="1:6" ht="18" x14ac:dyDescent="0.35">
      <c r="A106" s="47"/>
      <c r="C106" t="s">
        <v>303</v>
      </c>
      <c r="D106" s="6" t="s">
        <v>302</v>
      </c>
      <c r="E106">
        <v>4.24</v>
      </c>
      <c r="F106" t="s">
        <v>84</v>
      </c>
    </row>
    <row r="107" spans="1:6" ht="18" x14ac:dyDescent="0.35">
      <c r="A107" s="47"/>
      <c r="C107" t="s">
        <v>304</v>
      </c>
      <c r="D107" s="6" t="s">
        <v>306</v>
      </c>
      <c r="E107">
        <v>2.5000000000000001E-5</v>
      </c>
      <c r="F107" t="s">
        <v>84</v>
      </c>
    </row>
    <row r="108" spans="1:6" ht="18" x14ac:dyDescent="0.35">
      <c r="A108" s="47"/>
      <c r="C108" t="s">
        <v>305</v>
      </c>
      <c r="D108" s="6" t="s">
        <v>307</v>
      </c>
      <c r="E108">
        <v>5.8200000000000005E-4</v>
      </c>
      <c r="F108" t="s">
        <v>84</v>
      </c>
    </row>
    <row r="109" spans="1:6" ht="18" x14ac:dyDescent="0.35">
      <c r="A109" s="47"/>
      <c r="C109" t="s">
        <v>375</v>
      </c>
      <c r="D109" s="6" t="s">
        <v>374</v>
      </c>
      <c r="E109">
        <v>6.0700000000000001E-4</v>
      </c>
      <c r="F109" t="s">
        <v>84</v>
      </c>
    </row>
    <row r="110" spans="1:6" ht="18" x14ac:dyDescent="0.35">
      <c r="A110" s="47"/>
      <c r="C110" t="s">
        <v>352</v>
      </c>
      <c r="D110" s="6" t="s">
        <v>311</v>
      </c>
      <c r="E110">
        <v>5.73</v>
      </c>
      <c r="F110" t="s">
        <v>151</v>
      </c>
    </row>
    <row r="111" spans="1:6" ht="18" x14ac:dyDescent="0.35">
      <c r="A111" s="47"/>
      <c r="C111" t="s">
        <v>413</v>
      </c>
      <c r="D111" s="6" t="s">
        <v>312</v>
      </c>
      <c r="E111">
        <v>34.92</v>
      </c>
      <c r="F111" t="s">
        <v>84</v>
      </c>
    </row>
    <row r="112" spans="1:6" x14ac:dyDescent="0.25">
      <c r="A112" s="47"/>
    </row>
    <row r="113" spans="1:6" x14ac:dyDescent="0.25">
      <c r="A113" s="47"/>
      <c r="C113" s="18" t="s">
        <v>335</v>
      </c>
    </row>
    <row r="114" spans="1:6" x14ac:dyDescent="0.25">
      <c r="A114" s="47"/>
    </row>
    <row r="115" spans="1:6" ht="18.75" x14ac:dyDescent="0.35">
      <c r="A115" s="47"/>
      <c r="C115" t="s">
        <v>313</v>
      </c>
      <c r="D115" s="6" t="s">
        <v>314</v>
      </c>
      <c r="E115">
        <v>0.14760799999999999</v>
      </c>
      <c r="F115" t="s">
        <v>270</v>
      </c>
    </row>
    <row r="116" spans="1:6" ht="18" x14ac:dyDescent="0.35">
      <c r="A116" s="47"/>
      <c r="C116" t="s">
        <v>315</v>
      </c>
      <c r="D116" s="6" t="s">
        <v>316</v>
      </c>
      <c r="E116">
        <v>0.26947700000000002</v>
      </c>
      <c r="F116" t="s">
        <v>86</v>
      </c>
    </row>
    <row r="117" spans="1:6" ht="18.75" x14ac:dyDescent="0.35">
      <c r="A117" s="47"/>
      <c r="C117" t="s">
        <v>317</v>
      </c>
      <c r="D117" s="6" t="s">
        <v>318</v>
      </c>
      <c r="E117">
        <v>2.8340000000000001E-3</v>
      </c>
      <c r="F117" t="s">
        <v>319</v>
      </c>
    </row>
    <row r="118" spans="1:6" ht="18.75" x14ac:dyDescent="0.35">
      <c r="A118" s="47"/>
      <c r="C118" t="s">
        <v>320</v>
      </c>
      <c r="D118" s="6" t="s">
        <v>321</v>
      </c>
      <c r="E118">
        <v>1.4300000000000001E-4</v>
      </c>
      <c r="F118" t="s">
        <v>322</v>
      </c>
    </row>
    <row r="119" spans="1:6" x14ac:dyDescent="0.25">
      <c r="A119" s="47"/>
    </row>
    <row r="120" spans="1:6" x14ac:dyDescent="0.25">
      <c r="A120" s="47"/>
      <c r="C120" s="18" t="s">
        <v>346</v>
      </c>
    </row>
    <row r="121" spans="1:6" x14ac:dyDescent="0.25">
      <c r="A121" s="47"/>
    </row>
    <row r="122" spans="1:6" ht="18" x14ac:dyDescent="0.35">
      <c r="A122" s="47"/>
      <c r="C122" t="s">
        <v>323</v>
      </c>
      <c r="D122" s="6" t="s">
        <v>324</v>
      </c>
      <c r="E122">
        <v>0.2276</v>
      </c>
      <c r="F122" t="s">
        <v>25</v>
      </c>
    </row>
    <row r="123" spans="1:6" ht="18.75" x14ac:dyDescent="0.35">
      <c r="A123" s="47"/>
      <c r="C123" t="s">
        <v>325</v>
      </c>
      <c r="D123" s="6" t="s">
        <v>326</v>
      </c>
      <c r="E123">
        <v>2.176E-3</v>
      </c>
      <c r="F123" t="s">
        <v>319</v>
      </c>
    </row>
    <row r="124" spans="1:6" ht="18.75" x14ac:dyDescent="0.35">
      <c r="A124" s="47"/>
      <c r="C124" t="s">
        <v>320</v>
      </c>
      <c r="D124" s="6" t="s">
        <v>327</v>
      </c>
      <c r="E124">
        <v>1.85E-4</v>
      </c>
      <c r="F124" t="s">
        <v>322</v>
      </c>
    </row>
    <row r="125" spans="1:6" ht="18.75" x14ac:dyDescent="0.35">
      <c r="A125" s="47"/>
      <c r="C125" t="s">
        <v>328</v>
      </c>
      <c r="D125" s="6" t="s">
        <v>329</v>
      </c>
      <c r="E125">
        <v>1.6540000000000001E-3</v>
      </c>
      <c r="F125" t="s">
        <v>330</v>
      </c>
    </row>
    <row r="126" spans="1:6" ht="18" x14ac:dyDescent="0.35">
      <c r="A126" s="47"/>
      <c r="C126" t="s">
        <v>331</v>
      </c>
      <c r="D126" s="6" t="s">
        <v>332</v>
      </c>
      <c r="E126">
        <v>7.44</v>
      </c>
      <c r="F126" t="s">
        <v>21</v>
      </c>
    </row>
    <row r="127" spans="1:6" x14ac:dyDescent="0.25">
      <c r="A127" s="47"/>
    </row>
    <row r="128" spans="1:6" x14ac:dyDescent="0.25">
      <c r="A128" s="47"/>
      <c r="C128" s="50" t="s">
        <v>364</v>
      </c>
    </row>
    <row r="129" spans="1:6" x14ac:dyDescent="0.25">
      <c r="A129" s="47"/>
    </row>
    <row r="130" spans="1:6" ht="18" x14ac:dyDescent="0.35">
      <c r="A130" s="47"/>
      <c r="C130" t="s">
        <v>353</v>
      </c>
      <c r="D130" s="6" t="s">
        <v>360</v>
      </c>
      <c r="E130">
        <v>12.83</v>
      </c>
      <c r="F130" t="s">
        <v>21</v>
      </c>
    </row>
    <row r="131" spans="1:6" ht="18" x14ac:dyDescent="0.35">
      <c r="A131" s="47"/>
      <c r="C131" t="s">
        <v>331</v>
      </c>
      <c r="D131" s="6" t="s">
        <v>332</v>
      </c>
      <c r="E131">
        <v>7.44</v>
      </c>
      <c r="F131" t="s">
        <v>21</v>
      </c>
    </row>
    <row r="132" spans="1:6" ht="18" x14ac:dyDescent="0.35">
      <c r="A132" s="47"/>
      <c r="C132" t="s">
        <v>361</v>
      </c>
      <c r="D132" s="6" t="s">
        <v>362</v>
      </c>
      <c r="E132" s="67">
        <v>20.3</v>
      </c>
      <c r="F132" t="s">
        <v>21</v>
      </c>
    </row>
    <row r="133" spans="1:6" ht="18" x14ac:dyDescent="0.35">
      <c r="A133" s="47"/>
      <c r="C133" t="s">
        <v>363</v>
      </c>
      <c r="D133" t="s">
        <v>294</v>
      </c>
      <c r="E133" s="67">
        <v>24</v>
      </c>
      <c r="F133" t="s">
        <v>21</v>
      </c>
    </row>
    <row r="134" spans="1:6" x14ac:dyDescent="0.25">
      <c r="A134" s="47"/>
    </row>
    <row r="135" spans="1:6" x14ac:dyDescent="0.25">
      <c r="A135" s="47"/>
    </row>
    <row r="136" spans="1:6" x14ac:dyDescent="0.25">
      <c r="A136" s="47"/>
      <c r="F136" s="12"/>
    </row>
    <row r="137" spans="1:6" x14ac:dyDescent="0.25">
      <c r="A137" s="47"/>
    </row>
    <row r="138" spans="1:6" ht="18" x14ac:dyDescent="0.35">
      <c r="A138" s="47" t="s">
        <v>383</v>
      </c>
      <c r="C138" s="50" t="s">
        <v>365</v>
      </c>
      <c r="D138" s="12" t="s">
        <v>376</v>
      </c>
      <c r="E138" s="15" t="s">
        <v>366</v>
      </c>
      <c r="F138" t="s">
        <v>377</v>
      </c>
    </row>
    <row r="139" spans="1:6" x14ac:dyDescent="0.25">
      <c r="A139" s="47"/>
      <c r="D139" s="67">
        <v>20.3</v>
      </c>
      <c r="E139" s="15" t="s">
        <v>366</v>
      </c>
      <c r="F139" s="73">
        <v>24</v>
      </c>
    </row>
    <row r="140" spans="1:6" x14ac:dyDescent="0.25">
      <c r="A140" s="47"/>
    </row>
    <row r="141" spans="1:6" x14ac:dyDescent="0.25">
      <c r="A141" s="47"/>
      <c r="D141" s="18" t="s">
        <v>423</v>
      </c>
    </row>
    <row r="142" spans="1:6" x14ac:dyDescent="0.25">
      <c r="A142" s="47"/>
    </row>
    <row r="143" spans="1:6" x14ac:dyDescent="0.25">
      <c r="A143" s="47"/>
    </row>
    <row r="144" spans="1:6" x14ac:dyDescent="0.25">
      <c r="A144" s="47"/>
    </row>
    <row r="145" spans="1:1" x14ac:dyDescent="0.25">
      <c r="A145" s="47"/>
    </row>
    <row r="146" spans="1:1" x14ac:dyDescent="0.25">
      <c r="A146" s="47"/>
    </row>
    <row r="147" spans="1:1" x14ac:dyDescent="0.25">
      <c r="A147" s="47"/>
    </row>
    <row r="148" spans="1:1" x14ac:dyDescent="0.25">
      <c r="A148" s="47"/>
    </row>
    <row r="149" spans="1:1" x14ac:dyDescent="0.25">
      <c r="A149" s="47"/>
    </row>
    <row r="150" spans="1:1" x14ac:dyDescent="0.25">
      <c r="A150" s="47"/>
    </row>
    <row r="151" spans="1:1" x14ac:dyDescent="0.25">
      <c r="A151" s="47"/>
    </row>
    <row r="152" spans="1:1" x14ac:dyDescent="0.25">
      <c r="A152" s="47"/>
    </row>
    <row r="153" spans="1:1" x14ac:dyDescent="0.25">
      <c r="A153" s="47"/>
    </row>
    <row r="154" spans="1:1" x14ac:dyDescent="0.25">
      <c r="A154" s="47"/>
    </row>
    <row r="155" spans="1:1" x14ac:dyDescent="0.25">
      <c r="A155" s="47"/>
    </row>
    <row r="156" spans="1:1" x14ac:dyDescent="0.25">
      <c r="A156" s="47"/>
    </row>
    <row r="157" spans="1:1" x14ac:dyDescent="0.25">
      <c r="A157" s="47"/>
    </row>
    <row r="158" spans="1:1" x14ac:dyDescent="0.25">
      <c r="A158" s="47"/>
    </row>
    <row r="159" spans="1:1" x14ac:dyDescent="0.25">
      <c r="A159" s="47"/>
    </row>
    <row r="160" spans="1:1" x14ac:dyDescent="0.25">
      <c r="A160" s="47"/>
    </row>
    <row r="161" spans="1:1" x14ac:dyDescent="0.25">
      <c r="A161" s="47"/>
    </row>
    <row r="162" spans="1:1" x14ac:dyDescent="0.25">
      <c r="A162" s="47"/>
    </row>
    <row r="163" spans="1:1" x14ac:dyDescent="0.25">
      <c r="A163" s="47"/>
    </row>
    <row r="164" spans="1:1" x14ac:dyDescent="0.25">
      <c r="A164" s="47"/>
    </row>
    <row r="165" spans="1:1" x14ac:dyDescent="0.25">
      <c r="A165" s="47"/>
    </row>
    <row r="166" spans="1:1" x14ac:dyDescent="0.25">
      <c r="A166" s="47"/>
    </row>
    <row r="167" spans="1:1" x14ac:dyDescent="0.25">
      <c r="A167" s="47"/>
    </row>
    <row r="168" spans="1:1" x14ac:dyDescent="0.25">
      <c r="A168" s="47"/>
    </row>
    <row r="169" spans="1:1" x14ac:dyDescent="0.25">
      <c r="A169" s="47"/>
    </row>
    <row r="170" spans="1:1" x14ac:dyDescent="0.25">
      <c r="A170" s="47"/>
    </row>
    <row r="171" spans="1:1" x14ac:dyDescent="0.25">
      <c r="A171" s="47"/>
    </row>
    <row r="172" spans="1:1" x14ac:dyDescent="0.25">
      <c r="A172" s="47"/>
    </row>
    <row r="173" spans="1:1" x14ac:dyDescent="0.25">
      <c r="A173" s="47"/>
    </row>
    <row r="174" spans="1:1" x14ac:dyDescent="0.25">
      <c r="A174" s="47"/>
    </row>
    <row r="175" spans="1:1" x14ac:dyDescent="0.25">
      <c r="A175" s="47"/>
    </row>
    <row r="176" spans="1:1" x14ac:dyDescent="0.25">
      <c r="A176" s="47"/>
    </row>
    <row r="177" spans="1:6" x14ac:dyDescent="0.25">
      <c r="A177" s="47"/>
    </row>
    <row r="178" spans="1:6" x14ac:dyDescent="0.25">
      <c r="A178" s="47"/>
    </row>
    <row r="179" spans="1:6" x14ac:dyDescent="0.25">
      <c r="A179" s="47"/>
    </row>
    <row r="180" spans="1:6" x14ac:dyDescent="0.25">
      <c r="A180" s="47"/>
    </row>
    <row r="181" spans="1:6" x14ac:dyDescent="0.25">
      <c r="A181" s="47"/>
    </row>
    <row r="182" spans="1:6" x14ac:dyDescent="0.25">
      <c r="A182" s="47"/>
    </row>
    <row r="183" spans="1:6" x14ac:dyDescent="0.25">
      <c r="A183" s="47"/>
    </row>
    <row r="184" spans="1:6" x14ac:dyDescent="0.25">
      <c r="A184" s="47"/>
    </row>
    <row r="185" spans="1:6" x14ac:dyDescent="0.25">
      <c r="A185" s="47"/>
      <c r="F185" s="12"/>
    </row>
    <row r="186" spans="1:6" x14ac:dyDescent="0.25">
      <c r="A186" s="22"/>
    </row>
    <row r="187" spans="1:6" x14ac:dyDescent="0.25">
      <c r="A187" s="22"/>
    </row>
    <row r="188" spans="1:6" x14ac:dyDescent="0.25">
      <c r="A188" s="22"/>
    </row>
    <row r="189" spans="1:6" x14ac:dyDescent="0.25">
      <c r="A189" s="22"/>
    </row>
    <row r="190" spans="1:6" x14ac:dyDescent="0.25">
      <c r="A190" s="22"/>
    </row>
    <row r="191" spans="1:6" x14ac:dyDescent="0.25">
      <c r="A191" s="22"/>
    </row>
    <row r="192" spans="1:6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</sheetData>
  <pageMargins left="0.31496062992125984" right="0.31496062992125984" top="0.78740157480314965" bottom="0.78740157480314965" header="0.31496062992125984" footer="0.31496062992125984"/>
  <pageSetup paperSize="9" fitToWidth="0" fitToHeight="0" orientation="portrait" r:id="rId1"/>
  <rowBreaks count="4" manualBreakCount="4">
    <brk id="47" max="16383" man="1"/>
    <brk id="92" max="16383" man="1"/>
    <brk id="136" max="16383" man="1"/>
    <brk id="185" max="16383" man="1"/>
  </rowBreaks>
  <drawing r:id="rId2"/>
  <legacyDrawing r:id="rId3"/>
  <controls>
    <mc:AlternateContent xmlns:mc="http://schemas.openxmlformats.org/markup-compatibility/2006">
      <mc:Choice Requires="x14">
        <control shapeId="5127" r:id="rId4" name="combutt_protokol5">
          <controlPr defaultSize="0" autoLine="0" r:id="rId5">
            <anchor moveWithCells="1">
              <from>
                <xdr:col>2</xdr:col>
                <xdr:colOff>2133600</xdr:colOff>
                <xdr:row>0</xdr:row>
                <xdr:rowOff>66675</xdr:rowOff>
              </from>
              <to>
                <xdr:col>2</xdr:col>
                <xdr:colOff>3152775</xdr:colOff>
                <xdr:row>0</xdr:row>
                <xdr:rowOff>342900</xdr:rowOff>
              </to>
            </anchor>
          </controlPr>
        </control>
      </mc:Choice>
      <mc:Fallback>
        <control shapeId="5127" r:id="rId4" name="combutt_protokol5"/>
      </mc:Fallback>
    </mc:AlternateContent>
    <mc:AlternateContent xmlns:mc="http://schemas.openxmlformats.org/markup-compatibility/2006">
      <mc:Choice Requires="x14">
        <control shapeId="5122" r:id="rId6" name="combutt_protokol1">
          <controlPr defaultSize="0" autoLine="0" autoPict="0" r:id="rId7">
            <anchor moveWithCells="1">
              <from>
                <xdr:col>2</xdr:col>
                <xdr:colOff>19050</xdr:colOff>
                <xdr:row>0</xdr:row>
                <xdr:rowOff>66675</xdr:rowOff>
              </from>
              <to>
                <xdr:col>2</xdr:col>
                <xdr:colOff>1038225</xdr:colOff>
                <xdr:row>0</xdr:row>
                <xdr:rowOff>342900</xdr:rowOff>
              </to>
            </anchor>
          </controlPr>
        </control>
      </mc:Choice>
      <mc:Fallback>
        <control shapeId="5122" r:id="rId6" name="combutt_protokol1"/>
      </mc:Fallback>
    </mc:AlternateContent>
    <mc:AlternateContent xmlns:mc="http://schemas.openxmlformats.org/markup-compatibility/2006">
      <mc:Choice Requires="x14">
        <control shapeId="5126" r:id="rId8" name="Combutt_protokol3">
          <controlPr defaultSize="0" autoLine="0" autoPict="0" r:id="rId9">
            <anchor moveWithCells="1">
              <from>
                <xdr:col>2</xdr:col>
                <xdr:colOff>1076325</xdr:colOff>
                <xdr:row>0</xdr:row>
                <xdr:rowOff>66675</xdr:rowOff>
              </from>
              <to>
                <xdr:col>2</xdr:col>
                <xdr:colOff>2095500</xdr:colOff>
                <xdr:row>0</xdr:row>
                <xdr:rowOff>342900</xdr:rowOff>
              </to>
            </anchor>
          </controlPr>
        </control>
      </mc:Choice>
      <mc:Fallback>
        <control shapeId="5126" r:id="rId8" name="Combutt_protokol3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F138"/>
  <sheetViews>
    <sheetView showGridLines="0" showRowColHeaders="0" showRuler="0" view="pageLayout" zoomScaleNormal="100" workbookViewId="0">
      <selection activeCell="E1" sqref="E1"/>
    </sheetView>
  </sheetViews>
  <sheetFormatPr defaultRowHeight="15" x14ac:dyDescent="0.25"/>
  <cols>
    <col min="1" max="1" width="8.7109375" customWidth="1"/>
    <col min="2" max="2" width="2.7109375" customWidth="1"/>
    <col min="3" max="3" width="55.7109375" customWidth="1"/>
    <col min="4" max="4" width="9.7109375" customWidth="1"/>
    <col min="5" max="5" width="9.28515625" customWidth="1"/>
    <col min="6" max="6" width="10.7109375" customWidth="1"/>
  </cols>
  <sheetData>
    <row r="1" spans="1:6" ht="30" customHeight="1" x14ac:dyDescent="0.25">
      <c r="A1" s="22"/>
      <c r="D1" s="22"/>
      <c r="E1" s="22"/>
      <c r="F1" s="22"/>
    </row>
    <row r="2" spans="1:6" x14ac:dyDescent="0.25">
      <c r="A2" s="47" t="s">
        <v>380</v>
      </c>
      <c r="C2" s="52" t="s">
        <v>218</v>
      </c>
      <c r="D2" s="70"/>
      <c r="E2" s="70"/>
      <c r="F2" s="70"/>
    </row>
    <row r="3" spans="1:6" x14ac:dyDescent="0.25">
      <c r="A3" s="47"/>
      <c r="D3" s="22"/>
      <c r="E3" s="22"/>
      <c r="F3" s="22"/>
    </row>
    <row r="4" spans="1:6" ht="9.9499999999999993" customHeight="1" x14ac:dyDescent="0.25">
      <c r="A4" s="47"/>
      <c r="D4" s="22"/>
      <c r="E4" s="22"/>
      <c r="F4" s="22"/>
    </row>
    <row r="5" spans="1:6" ht="9.9499999999999993" customHeight="1" x14ac:dyDescent="0.25">
      <c r="A5" s="47"/>
      <c r="D5" s="22"/>
      <c r="E5" s="22"/>
      <c r="F5" s="22"/>
    </row>
    <row r="6" spans="1:6" ht="9.9499999999999993" customHeight="1" x14ac:dyDescent="0.25">
      <c r="A6" s="47"/>
      <c r="D6" s="22"/>
      <c r="E6" s="22"/>
      <c r="F6" s="22"/>
    </row>
    <row r="7" spans="1:6" x14ac:dyDescent="0.25">
      <c r="A7" s="47"/>
      <c r="D7" s="22"/>
      <c r="E7" s="22"/>
      <c r="F7" s="22"/>
    </row>
    <row r="8" spans="1:6" x14ac:dyDescent="0.25">
      <c r="A8" s="47"/>
      <c r="C8" s="50" t="s">
        <v>251</v>
      </c>
      <c r="D8" s="22"/>
      <c r="E8" s="22"/>
      <c r="F8" s="22"/>
    </row>
    <row r="9" spans="1:6" x14ac:dyDescent="0.25">
      <c r="A9" s="47"/>
      <c r="D9" s="22"/>
      <c r="E9" s="22"/>
      <c r="F9" s="71"/>
    </row>
    <row r="10" spans="1:6" x14ac:dyDescent="0.25">
      <c r="A10" s="47"/>
      <c r="C10" t="s">
        <v>219</v>
      </c>
      <c r="D10" s="18"/>
      <c r="E10" s="62" t="s">
        <v>0</v>
      </c>
    </row>
    <row r="11" spans="1:6" ht="18" x14ac:dyDescent="0.35">
      <c r="A11" s="47"/>
      <c r="C11" t="s">
        <v>220</v>
      </c>
      <c r="D11" t="s">
        <v>221</v>
      </c>
      <c r="E11" s="62">
        <v>30</v>
      </c>
      <c r="F11" t="s">
        <v>151</v>
      </c>
    </row>
    <row r="12" spans="1:6" x14ac:dyDescent="0.25">
      <c r="A12" s="47"/>
      <c r="C12" t="s">
        <v>222</v>
      </c>
      <c r="D12" s="18"/>
      <c r="E12" s="62" t="s">
        <v>12</v>
      </c>
    </row>
    <row r="13" spans="1:6" ht="18" x14ac:dyDescent="0.35">
      <c r="A13" s="47"/>
      <c r="C13" t="s">
        <v>223</v>
      </c>
      <c r="D13" t="s">
        <v>224</v>
      </c>
      <c r="E13" s="62">
        <v>200</v>
      </c>
      <c r="F13" t="s">
        <v>151</v>
      </c>
    </row>
    <row r="14" spans="1:6" x14ac:dyDescent="0.25">
      <c r="A14" s="47"/>
      <c r="C14" t="s">
        <v>248</v>
      </c>
      <c r="D14" s="18"/>
      <c r="E14" s="62" t="s">
        <v>131</v>
      </c>
    </row>
    <row r="15" spans="1:6" x14ac:dyDescent="0.25">
      <c r="A15" s="47"/>
      <c r="E15" s="62"/>
    </row>
    <row r="16" spans="1:6" x14ac:dyDescent="0.25">
      <c r="A16" s="47"/>
      <c r="C16" t="s">
        <v>228</v>
      </c>
      <c r="D16" t="s">
        <v>229</v>
      </c>
      <c r="E16" s="62">
        <v>6</v>
      </c>
      <c r="F16" t="s">
        <v>25</v>
      </c>
    </row>
    <row r="17" spans="1:6" x14ac:dyDescent="0.25">
      <c r="A17" s="47"/>
      <c r="C17" t="s">
        <v>225</v>
      </c>
      <c r="D17" t="s">
        <v>226</v>
      </c>
      <c r="E17" s="62" t="s">
        <v>411</v>
      </c>
      <c r="F17" t="s">
        <v>25</v>
      </c>
    </row>
    <row r="18" spans="1:6" x14ac:dyDescent="0.25">
      <c r="A18" s="47"/>
      <c r="C18" t="s">
        <v>414</v>
      </c>
      <c r="D18" t="s">
        <v>227</v>
      </c>
      <c r="E18" s="62" t="s">
        <v>412</v>
      </c>
      <c r="F18" t="s">
        <v>25</v>
      </c>
    </row>
    <row r="19" spans="1:6" x14ac:dyDescent="0.25">
      <c r="A19" s="47"/>
      <c r="E19" s="62"/>
    </row>
    <row r="20" spans="1:6" ht="18" x14ac:dyDescent="0.35">
      <c r="A20" s="47"/>
      <c r="C20" t="s">
        <v>378</v>
      </c>
      <c r="D20" t="s">
        <v>230</v>
      </c>
      <c r="E20" s="62">
        <v>5</v>
      </c>
      <c r="F20" t="s">
        <v>27</v>
      </c>
    </row>
    <row r="21" spans="1:6" ht="18" x14ac:dyDescent="0.35">
      <c r="A21" s="47"/>
      <c r="C21" t="s">
        <v>379</v>
      </c>
      <c r="D21" t="s">
        <v>231</v>
      </c>
      <c r="E21" s="62">
        <v>10</v>
      </c>
      <c r="F21" t="s">
        <v>27</v>
      </c>
    </row>
    <row r="22" spans="1:6" x14ac:dyDescent="0.25">
      <c r="A22" s="47"/>
      <c r="E22" s="62"/>
    </row>
    <row r="23" spans="1:6" x14ac:dyDescent="0.25">
      <c r="A23" s="47"/>
      <c r="C23" t="s">
        <v>232</v>
      </c>
      <c r="D23" s="6" t="s">
        <v>236</v>
      </c>
      <c r="E23" s="62">
        <v>16</v>
      </c>
      <c r="F23" t="s">
        <v>21</v>
      </c>
    </row>
    <row r="24" spans="1:6" x14ac:dyDescent="0.25">
      <c r="A24" s="47"/>
      <c r="C24" t="s">
        <v>233</v>
      </c>
      <c r="D24" t="s">
        <v>246</v>
      </c>
      <c r="E24" s="62">
        <v>5</v>
      </c>
      <c r="F24" t="s">
        <v>245</v>
      </c>
    </row>
    <row r="25" spans="1:6" ht="18" x14ac:dyDescent="0.35">
      <c r="A25" s="47"/>
      <c r="C25" t="s">
        <v>234</v>
      </c>
      <c r="D25" t="s">
        <v>237</v>
      </c>
      <c r="E25" s="62">
        <v>0</v>
      </c>
      <c r="F25" t="s">
        <v>21</v>
      </c>
    </row>
    <row r="26" spans="1:6" x14ac:dyDescent="0.25">
      <c r="A26" s="47"/>
      <c r="C26" t="s">
        <v>235</v>
      </c>
      <c r="D26" t="s">
        <v>238</v>
      </c>
      <c r="E26" s="62">
        <v>30</v>
      </c>
      <c r="F26" t="s">
        <v>21</v>
      </c>
    </row>
    <row r="27" spans="1:6" x14ac:dyDescent="0.25">
      <c r="A27" s="47"/>
      <c r="E27" s="62"/>
    </row>
    <row r="28" spans="1:6" x14ac:dyDescent="0.25">
      <c r="A28" s="47"/>
      <c r="C28" t="s">
        <v>249</v>
      </c>
      <c r="D28" t="s">
        <v>250</v>
      </c>
      <c r="E28" s="62"/>
      <c r="F28" t="s">
        <v>216</v>
      </c>
    </row>
    <row r="29" spans="1:6" x14ac:dyDescent="0.25">
      <c r="A29" s="47"/>
      <c r="C29" t="s">
        <v>239</v>
      </c>
      <c r="D29" t="s">
        <v>36</v>
      </c>
      <c r="E29" s="62">
        <v>40</v>
      </c>
      <c r="F29" t="s">
        <v>37</v>
      </c>
    </row>
    <row r="30" spans="1:6" ht="18" x14ac:dyDescent="0.35">
      <c r="A30" s="47"/>
      <c r="C30" t="s">
        <v>240</v>
      </c>
      <c r="D30" t="s">
        <v>241</v>
      </c>
      <c r="E30" s="62">
        <v>28</v>
      </c>
      <c r="F30" t="s">
        <v>66</v>
      </c>
    </row>
    <row r="31" spans="1:6" ht="18" x14ac:dyDescent="0.35">
      <c r="A31" s="47"/>
      <c r="C31" t="s">
        <v>419</v>
      </c>
      <c r="D31" t="s">
        <v>247</v>
      </c>
      <c r="E31" s="62">
        <v>7</v>
      </c>
      <c r="F31" t="s">
        <v>66</v>
      </c>
    </row>
    <row r="32" spans="1:6" x14ac:dyDescent="0.25">
      <c r="A32" s="47"/>
      <c r="C32" t="s">
        <v>242</v>
      </c>
      <c r="D32" s="58"/>
    </row>
    <row r="33" spans="1:6" ht="18" x14ac:dyDescent="0.35">
      <c r="A33" s="47"/>
      <c r="C33" t="s">
        <v>265</v>
      </c>
      <c r="D33" t="s">
        <v>243</v>
      </c>
      <c r="E33">
        <v>0.7</v>
      </c>
      <c r="F33" t="s">
        <v>84</v>
      </c>
    </row>
    <row r="34" spans="1:6" ht="18" x14ac:dyDescent="0.35">
      <c r="A34" s="47"/>
      <c r="D34" t="s">
        <v>244</v>
      </c>
      <c r="E34">
        <v>0.6</v>
      </c>
      <c r="F34" t="s">
        <v>84</v>
      </c>
    </row>
    <row r="35" spans="1:6" x14ac:dyDescent="0.25">
      <c r="A35" s="47"/>
    </row>
    <row r="36" spans="1:6" x14ac:dyDescent="0.25">
      <c r="A36" s="47"/>
      <c r="C36" s="50" t="s">
        <v>260</v>
      </c>
    </row>
    <row r="37" spans="1:6" x14ac:dyDescent="0.25">
      <c r="A37" s="47"/>
    </row>
    <row r="38" spans="1:6" x14ac:dyDescent="0.25">
      <c r="A38" s="47"/>
      <c r="C38" s="50" t="s">
        <v>275</v>
      </c>
    </row>
    <row r="39" spans="1:6" ht="12.75" customHeight="1" x14ac:dyDescent="0.25">
      <c r="A39" s="47"/>
    </row>
    <row r="40" spans="1:6" ht="18" x14ac:dyDescent="0.35">
      <c r="A40" s="47"/>
      <c r="C40" t="s">
        <v>263</v>
      </c>
      <c r="D40" t="s">
        <v>266</v>
      </c>
      <c r="E40">
        <v>20</v>
      </c>
      <c r="F40" t="s">
        <v>44</v>
      </c>
    </row>
    <row r="41" spans="1:6" ht="18" x14ac:dyDescent="0.35">
      <c r="A41" s="47"/>
      <c r="C41" t="s">
        <v>264</v>
      </c>
      <c r="D41" t="s">
        <v>267</v>
      </c>
      <c r="E41">
        <v>28</v>
      </c>
      <c r="F41" t="s">
        <v>44</v>
      </c>
    </row>
    <row r="42" spans="1:6" ht="18" x14ac:dyDescent="0.35">
      <c r="A42" s="47"/>
      <c r="C42" t="s">
        <v>416</v>
      </c>
      <c r="D42" t="s">
        <v>417</v>
      </c>
      <c r="E42">
        <v>2.2000000000000002</v>
      </c>
      <c r="F42" t="s">
        <v>44</v>
      </c>
    </row>
    <row r="43" spans="1:6" ht="18.75" x14ac:dyDescent="0.35">
      <c r="A43" s="47"/>
      <c r="C43" t="s">
        <v>268</v>
      </c>
      <c r="D43" t="s">
        <v>269</v>
      </c>
      <c r="E43">
        <v>0.1125</v>
      </c>
      <c r="F43" t="s">
        <v>270</v>
      </c>
    </row>
    <row r="44" spans="1:6" ht="18" x14ac:dyDescent="0.35">
      <c r="A44" s="47"/>
      <c r="C44" t="s">
        <v>272</v>
      </c>
      <c r="D44" t="s">
        <v>271</v>
      </c>
      <c r="E44">
        <v>500</v>
      </c>
      <c r="F44" t="s">
        <v>44</v>
      </c>
    </row>
    <row r="45" spans="1:6" ht="18.75" x14ac:dyDescent="0.35">
      <c r="A45" s="47"/>
      <c r="C45" t="s">
        <v>278</v>
      </c>
      <c r="D45" t="s">
        <v>273</v>
      </c>
      <c r="E45">
        <v>1005.31</v>
      </c>
      <c r="F45" t="s">
        <v>274</v>
      </c>
    </row>
    <row r="46" spans="1:6" ht="18" x14ac:dyDescent="0.35">
      <c r="A46" s="47"/>
      <c r="C46" t="s">
        <v>279</v>
      </c>
      <c r="D46" t="s">
        <v>277</v>
      </c>
      <c r="E46">
        <v>38</v>
      </c>
      <c r="F46" t="s">
        <v>59</v>
      </c>
    </row>
    <row r="47" spans="1:6" x14ac:dyDescent="0.25">
      <c r="A47" s="47"/>
      <c r="C47" t="s">
        <v>280</v>
      </c>
      <c r="D47" t="s">
        <v>276</v>
      </c>
      <c r="E47">
        <v>0.41199999999999998</v>
      </c>
      <c r="F47" t="s">
        <v>25</v>
      </c>
    </row>
    <row r="48" spans="1:6" x14ac:dyDescent="0.25">
      <c r="A48" s="47"/>
    </row>
    <row r="49" spans="1:6" x14ac:dyDescent="0.25">
      <c r="A49" s="47" t="s">
        <v>381</v>
      </c>
      <c r="C49" s="50" t="s">
        <v>281</v>
      </c>
    </row>
    <row r="50" spans="1:6" x14ac:dyDescent="0.25">
      <c r="A50" s="47"/>
    </row>
    <row r="51" spans="1:6" ht="18" x14ac:dyDescent="0.35">
      <c r="A51" s="47"/>
      <c r="C51" t="s">
        <v>282</v>
      </c>
      <c r="D51" t="s">
        <v>288</v>
      </c>
      <c r="E51">
        <v>11</v>
      </c>
      <c r="F51" t="s">
        <v>27</v>
      </c>
    </row>
    <row r="52" spans="1:6" ht="18" x14ac:dyDescent="0.35">
      <c r="A52" s="47"/>
      <c r="C52" t="s">
        <v>291</v>
      </c>
      <c r="D52" t="s">
        <v>285</v>
      </c>
      <c r="E52">
        <v>49.5</v>
      </c>
      <c r="F52" t="s">
        <v>28</v>
      </c>
    </row>
    <row r="53" spans="1:6" ht="18" x14ac:dyDescent="0.35">
      <c r="A53" s="47"/>
      <c r="C53" t="s">
        <v>283</v>
      </c>
      <c r="D53" t="s">
        <v>289</v>
      </c>
      <c r="E53">
        <v>12</v>
      </c>
      <c r="F53" t="s">
        <v>27</v>
      </c>
    </row>
    <row r="54" spans="1:6" ht="18" x14ac:dyDescent="0.35">
      <c r="A54" s="47"/>
      <c r="C54" t="s">
        <v>292</v>
      </c>
      <c r="D54" t="s">
        <v>286</v>
      </c>
      <c r="E54">
        <v>54</v>
      </c>
      <c r="F54" t="s">
        <v>28</v>
      </c>
    </row>
    <row r="55" spans="1:6" ht="18" x14ac:dyDescent="0.35">
      <c r="A55" s="47"/>
      <c r="C55" t="s">
        <v>284</v>
      </c>
      <c r="D55" t="s">
        <v>290</v>
      </c>
      <c r="E55">
        <v>15</v>
      </c>
      <c r="F55" t="s">
        <v>27</v>
      </c>
    </row>
    <row r="56" spans="1:6" ht="18" x14ac:dyDescent="0.35">
      <c r="A56" s="47"/>
      <c r="C56" t="s">
        <v>293</v>
      </c>
      <c r="D56" t="s">
        <v>287</v>
      </c>
      <c r="E56">
        <v>67.5</v>
      </c>
      <c r="F56" t="s">
        <v>28</v>
      </c>
    </row>
    <row r="57" spans="1:6" x14ac:dyDescent="0.25">
      <c r="A57" s="47"/>
    </row>
    <row r="58" spans="1:6" x14ac:dyDescent="0.25">
      <c r="A58" s="47"/>
      <c r="C58" s="50" t="s">
        <v>296</v>
      </c>
    </row>
    <row r="59" spans="1:6" x14ac:dyDescent="0.25">
      <c r="A59" s="47"/>
    </row>
    <row r="60" spans="1:6" x14ac:dyDescent="0.25">
      <c r="A60" s="47"/>
      <c r="C60" s="50" t="s">
        <v>357</v>
      </c>
    </row>
    <row r="61" spans="1:6" x14ac:dyDescent="0.25">
      <c r="A61" s="47"/>
    </row>
    <row r="62" spans="1:6" ht="18" x14ac:dyDescent="0.35">
      <c r="A62" s="47"/>
      <c r="C62" t="s">
        <v>363</v>
      </c>
      <c r="D62" t="s">
        <v>294</v>
      </c>
      <c r="E62" s="1">
        <v>24</v>
      </c>
      <c r="F62" t="s">
        <v>21</v>
      </c>
    </row>
    <row r="63" spans="1:6" x14ac:dyDescent="0.25">
      <c r="A63" s="47"/>
    </row>
    <row r="64" spans="1:6" x14ac:dyDescent="0.25">
      <c r="A64" s="47"/>
      <c r="C64" s="50" t="s">
        <v>295</v>
      </c>
    </row>
    <row r="65" spans="1:6" x14ac:dyDescent="0.25">
      <c r="A65" s="47"/>
    </row>
    <row r="66" spans="1:6" ht="18" x14ac:dyDescent="0.35">
      <c r="A66" s="47"/>
      <c r="C66" t="s">
        <v>297</v>
      </c>
      <c r="D66" t="s">
        <v>241</v>
      </c>
      <c r="E66">
        <v>28</v>
      </c>
      <c r="F66" t="s">
        <v>66</v>
      </c>
    </row>
    <row r="67" spans="1:6" ht="18" x14ac:dyDescent="0.35">
      <c r="A67" s="47"/>
      <c r="C67" t="s">
        <v>419</v>
      </c>
      <c r="D67" t="s">
        <v>247</v>
      </c>
      <c r="E67">
        <v>7</v>
      </c>
      <c r="F67" t="s">
        <v>66</v>
      </c>
    </row>
    <row r="68" spans="1:6" ht="18" x14ac:dyDescent="0.35">
      <c r="A68" s="47"/>
      <c r="C68" t="s">
        <v>298</v>
      </c>
      <c r="D68" t="s">
        <v>299</v>
      </c>
      <c r="E68">
        <v>0.16070000000000001</v>
      </c>
      <c r="F68" t="s">
        <v>21</v>
      </c>
    </row>
    <row r="69" spans="1:6" x14ac:dyDescent="0.25">
      <c r="A69" s="47"/>
      <c r="D69" s="6"/>
    </row>
    <row r="70" spans="1:6" x14ac:dyDescent="0.25">
      <c r="A70" s="47"/>
      <c r="C70" s="50" t="s">
        <v>354</v>
      </c>
    </row>
    <row r="71" spans="1:6" x14ac:dyDescent="0.25">
      <c r="A71" s="47"/>
    </row>
    <row r="72" spans="1:6" ht="18" x14ac:dyDescent="0.35">
      <c r="A72" s="47"/>
      <c r="C72" t="s">
        <v>300</v>
      </c>
      <c r="D72" s="6" t="s">
        <v>301</v>
      </c>
      <c r="E72">
        <v>3.26</v>
      </c>
      <c r="F72" t="s">
        <v>84</v>
      </c>
    </row>
    <row r="73" spans="1:6" ht="18" x14ac:dyDescent="0.35">
      <c r="A73" s="47"/>
      <c r="C73" t="s">
        <v>352</v>
      </c>
      <c r="D73" s="6" t="s">
        <v>309</v>
      </c>
      <c r="E73">
        <v>7.04</v>
      </c>
      <c r="F73" t="s">
        <v>151</v>
      </c>
    </row>
    <row r="74" spans="1:6" ht="18" x14ac:dyDescent="0.35">
      <c r="A74" s="47"/>
      <c r="C74" t="s">
        <v>308</v>
      </c>
      <c r="D74" s="6" t="s">
        <v>310</v>
      </c>
      <c r="E74">
        <v>28.41</v>
      </c>
      <c r="F74" t="s">
        <v>84</v>
      </c>
    </row>
    <row r="75" spans="1:6" x14ac:dyDescent="0.25">
      <c r="A75" s="47"/>
    </row>
    <row r="76" spans="1:6" x14ac:dyDescent="0.25">
      <c r="A76" s="47"/>
      <c r="C76" s="18" t="s">
        <v>384</v>
      </c>
    </row>
    <row r="77" spans="1:6" x14ac:dyDescent="0.25">
      <c r="A77" s="47"/>
    </row>
    <row r="78" spans="1:6" ht="18.75" x14ac:dyDescent="0.35">
      <c r="A78" s="47"/>
      <c r="C78" t="s">
        <v>313</v>
      </c>
      <c r="D78" s="6" t="s">
        <v>336</v>
      </c>
      <c r="E78">
        <v>0.14107</v>
      </c>
      <c r="F78" t="s">
        <v>270</v>
      </c>
    </row>
    <row r="79" spans="1:6" ht="18" x14ac:dyDescent="0.35">
      <c r="A79" s="47"/>
      <c r="C79" t="s">
        <v>315</v>
      </c>
      <c r="D79" s="6" t="s">
        <v>337</v>
      </c>
      <c r="E79">
        <v>0.26286999999999999</v>
      </c>
      <c r="F79" t="s">
        <v>86</v>
      </c>
    </row>
    <row r="80" spans="1:6" ht="18.75" x14ac:dyDescent="0.35">
      <c r="A80" s="47"/>
      <c r="C80" t="s">
        <v>317</v>
      </c>
      <c r="D80" s="6" t="s">
        <v>338</v>
      </c>
      <c r="E80">
        <v>2.6949999999999999E-3</v>
      </c>
      <c r="F80" t="s">
        <v>319</v>
      </c>
    </row>
    <row r="81" spans="1:6" ht="18.75" x14ac:dyDescent="0.35">
      <c r="A81" s="47"/>
      <c r="C81" t="s">
        <v>339</v>
      </c>
      <c r="D81" s="6" t="s">
        <v>340</v>
      </c>
      <c r="E81">
        <v>18.97</v>
      </c>
      <c r="F81" t="s">
        <v>341</v>
      </c>
    </row>
    <row r="82" spans="1:6" ht="18.75" x14ac:dyDescent="0.35">
      <c r="A82" s="47"/>
      <c r="C82" t="s">
        <v>342</v>
      </c>
      <c r="D82" s="6" t="s">
        <v>343</v>
      </c>
      <c r="E82">
        <v>5.2720000000000003E-2</v>
      </c>
      <c r="F82" t="s">
        <v>344</v>
      </c>
    </row>
    <row r="83" spans="1:6" ht="18" x14ac:dyDescent="0.35">
      <c r="A83" s="47"/>
      <c r="C83" t="s">
        <v>345</v>
      </c>
      <c r="D83" s="6" t="s">
        <v>418</v>
      </c>
      <c r="E83">
        <v>31.68</v>
      </c>
      <c r="F83" t="s">
        <v>28</v>
      </c>
    </row>
    <row r="84" spans="1:6" ht="18" x14ac:dyDescent="0.35">
      <c r="A84" s="47"/>
      <c r="C84" t="s">
        <v>291</v>
      </c>
      <c r="D84" t="s">
        <v>285</v>
      </c>
      <c r="E84">
        <v>49.5</v>
      </c>
      <c r="F84" t="s">
        <v>28</v>
      </c>
    </row>
    <row r="85" spans="1:6" x14ac:dyDescent="0.25">
      <c r="A85" s="47"/>
    </row>
    <row r="86" spans="1:6" ht="18" x14ac:dyDescent="0.35">
      <c r="A86" s="47"/>
      <c r="C86" s="51" t="s">
        <v>356</v>
      </c>
      <c r="D86" s="64" t="s">
        <v>370</v>
      </c>
      <c r="E86" s="15"/>
      <c r="F86" s="15" t="s">
        <v>371</v>
      </c>
    </row>
    <row r="87" spans="1:6" x14ac:dyDescent="0.25">
      <c r="A87" s="47"/>
      <c r="C87" s="63" t="s">
        <v>369</v>
      </c>
      <c r="D87" s="76">
        <v>49.5</v>
      </c>
      <c r="E87" s="15" t="s">
        <v>408</v>
      </c>
      <c r="F87" s="42">
        <v>31.68</v>
      </c>
    </row>
    <row r="88" spans="1:6" x14ac:dyDescent="0.25">
      <c r="A88" s="47"/>
      <c r="C88" s="63" t="s">
        <v>372</v>
      </c>
      <c r="D88" s="1">
        <v>54</v>
      </c>
      <c r="E88" s="15" t="s">
        <v>408</v>
      </c>
      <c r="F88" s="42">
        <v>31.68</v>
      </c>
    </row>
    <row r="89" spans="1:6" x14ac:dyDescent="0.25">
      <c r="A89" s="47"/>
      <c r="C89" s="63" t="s">
        <v>373</v>
      </c>
      <c r="D89" s="1">
        <v>67.5</v>
      </c>
      <c r="E89" s="15" t="s">
        <v>408</v>
      </c>
      <c r="F89" s="42">
        <v>31.68</v>
      </c>
    </row>
    <row r="90" spans="1:6" x14ac:dyDescent="0.25">
      <c r="A90" s="47"/>
    </row>
    <row r="91" spans="1:6" x14ac:dyDescent="0.25">
      <c r="A91" s="47"/>
      <c r="C91" s="75" t="s">
        <v>385</v>
      </c>
    </row>
    <row r="92" spans="1:6" x14ac:dyDescent="0.25">
      <c r="A92" s="47"/>
    </row>
    <row r="93" spans="1:6" x14ac:dyDescent="0.25">
      <c r="A93" s="47"/>
    </row>
    <row r="94" spans="1:6" ht="18.75" x14ac:dyDescent="0.35">
      <c r="A94" s="47" t="s">
        <v>382</v>
      </c>
      <c r="C94" t="s">
        <v>351</v>
      </c>
      <c r="D94" s="6" t="s">
        <v>359</v>
      </c>
      <c r="E94" s="12">
        <v>3.4220000000000001E-3</v>
      </c>
      <c r="F94" t="s">
        <v>330</v>
      </c>
    </row>
    <row r="95" spans="1:6" ht="18" x14ac:dyDescent="0.35">
      <c r="A95" s="47"/>
      <c r="C95" t="s">
        <v>353</v>
      </c>
      <c r="D95" s="6" t="s">
        <v>360</v>
      </c>
      <c r="E95" s="12">
        <v>12.83</v>
      </c>
      <c r="F95" t="s">
        <v>21</v>
      </c>
    </row>
    <row r="96" spans="1:6" x14ac:dyDescent="0.25">
      <c r="A96" s="47"/>
    </row>
    <row r="97" spans="1:6" x14ac:dyDescent="0.25">
      <c r="A97" s="47"/>
      <c r="C97" s="50" t="s">
        <v>355</v>
      </c>
      <c r="D97" s="6"/>
    </row>
    <row r="98" spans="1:6" x14ac:dyDescent="0.25">
      <c r="A98" s="47"/>
      <c r="D98" s="6"/>
    </row>
    <row r="99" spans="1:6" ht="18" x14ac:dyDescent="0.35">
      <c r="A99" s="47"/>
      <c r="C99" t="s">
        <v>303</v>
      </c>
      <c r="D99" s="6" t="s">
        <v>302</v>
      </c>
      <c r="E99">
        <v>4.24</v>
      </c>
      <c r="F99" t="s">
        <v>84</v>
      </c>
    </row>
    <row r="100" spans="1:6" ht="18" x14ac:dyDescent="0.35">
      <c r="A100" s="47"/>
      <c r="C100" t="s">
        <v>304</v>
      </c>
      <c r="D100" s="6" t="s">
        <v>306</v>
      </c>
      <c r="E100">
        <v>2.5000000000000001E-5</v>
      </c>
      <c r="F100" t="s">
        <v>84</v>
      </c>
    </row>
    <row r="101" spans="1:6" ht="18" x14ac:dyDescent="0.35">
      <c r="A101" s="47"/>
      <c r="C101" t="s">
        <v>305</v>
      </c>
      <c r="D101" s="6" t="s">
        <v>307</v>
      </c>
      <c r="E101">
        <v>5.8200000000000005E-4</v>
      </c>
      <c r="F101" t="s">
        <v>84</v>
      </c>
    </row>
    <row r="102" spans="1:6" ht="18" x14ac:dyDescent="0.35">
      <c r="A102" s="47"/>
      <c r="C102" t="s">
        <v>375</v>
      </c>
      <c r="D102" s="6" t="s">
        <v>374</v>
      </c>
      <c r="E102">
        <v>6.0700000000000001E-4</v>
      </c>
      <c r="F102" t="s">
        <v>84</v>
      </c>
    </row>
    <row r="103" spans="1:6" ht="18" x14ac:dyDescent="0.35">
      <c r="A103" s="47"/>
      <c r="C103" t="s">
        <v>352</v>
      </c>
      <c r="D103" s="6" t="s">
        <v>311</v>
      </c>
      <c r="E103">
        <v>5.73</v>
      </c>
      <c r="F103" t="s">
        <v>151</v>
      </c>
    </row>
    <row r="104" spans="1:6" ht="18" x14ac:dyDescent="0.35">
      <c r="A104" s="47"/>
      <c r="C104" t="s">
        <v>413</v>
      </c>
      <c r="D104" s="6" t="s">
        <v>312</v>
      </c>
      <c r="E104">
        <v>34.92</v>
      </c>
      <c r="F104" t="s">
        <v>84</v>
      </c>
    </row>
    <row r="105" spans="1:6" x14ac:dyDescent="0.25">
      <c r="A105" s="47"/>
    </row>
    <row r="106" spans="1:6" x14ac:dyDescent="0.25">
      <c r="A106" s="47"/>
      <c r="C106" s="18" t="s">
        <v>384</v>
      </c>
    </row>
    <row r="107" spans="1:6" x14ac:dyDescent="0.25">
      <c r="A107" s="47"/>
    </row>
    <row r="108" spans="1:6" ht="18.75" x14ac:dyDescent="0.35">
      <c r="A108" s="47"/>
      <c r="C108" t="s">
        <v>313</v>
      </c>
      <c r="D108" s="6" t="s">
        <v>314</v>
      </c>
      <c r="E108">
        <v>0.14760799999999999</v>
      </c>
      <c r="F108" t="s">
        <v>270</v>
      </c>
    </row>
    <row r="109" spans="1:6" ht="18" x14ac:dyDescent="0.35">
      <c r="A109" s="47"/>
      <c r="C109" t="s">
        <v>315</v>
      </c>
      <c r="D109" s="6" t="s">
        <v>316</v>
      </c>
      <c r="E109">
        <v>0.26947700000000002</v>
      </c>
      <c r="F109" t="s">
        <v>86</v>
      </c>
    </row>
    <row r="110" spans="1:6" ht="18.75" x14ac:dyDescent="0.35">
      <c r="A110" s="47"/>
      <c r="C110" t="s">
        <v>317</v>
      </c>
      <c r="D110" s="6" t="s">
        <v>318</v>
      </c>
      <c r="E110">
        <v>2.8340000000000001E-3</v>
      </c>
      <c r="F110" t="s">
        <v>319</v>
      </c>
    </row>
    <row r="111" spans="1:6" ht="18.75" x14ac:dyDescent="0.35">
      <c r="A111" s="47"/>
      <c r="C111" t="s">
        <v>320</v>
      </c>
      <c r="D111" s="6" t="s">
        <v>321</v>
      </c>
      <c r="E111">
        <v>1.4300000000000001E-4</v>
      </c>
      <c r="F111" t="s">
        <v>322</v>
      </c>
    </row>
    <row r="112" spans="1:6" ht="18.75" x14ac:dyDescent="0.35">
      <c r="A112" s="47"/>
      <c r="C112" t="s">
        <v>328</v>
      </c>
      <c r="D112" s="6" t="s">
        <v>329</v>
      </c>
      <c r="E112">
        <v>1.6540000000000001E-3</v>
      </c>
      <c r="F112" t="s">
        <v>330</v>
      </c>
    </row>
    <row r="113" spans="1:6" ht="18" x14ac:dyDescent="0.35">
      <c r="A113" s="47"/>
      <c r="C113" t="s">
        <v>331</v>
      </c>
      <c r="D113" s="6" t="s">
        <v>332</v>
      </c>
      <c r="E113">
        <v>7.44</v>
      </c>
      <c r="F113" t="s">
        <v>21</v>
      </c>
    </row>
    <row r="114" spans="1:6" x14ac:dyDescent="0.25">
      <c r="A114" s="47"/>
    </row>
    <row r="115" spans="1:6" x14ac:dyDescent="0.25">
      <c r="A115" s="47"/>
      <c r="C115" s="50" t="s">
        <v>364</v>
      </c>
    </row>
    <row r="116" spans="1:6" x14ac:dyDescent="0.25">
      <c r="A116" s="47"/>
    </row>
    <row r="117" spans="1:6" ht="18" x14ac:dyDescent="0.35">
      <c r="A117" s="47"/>
      <c r="C117" t="s">
        <v>353</v>
      </c>
      <c r="D117" s="6" t="s">
        <v>360</v>
      </c>
      <c r="E117">
        <v>12.83</v>
      </c>
      <c r="F117" t="s">
        <v>21</v>
      </c>
    </row>
    <row r="118" spans="1:6" ht="18" x14ac:dyDescent="0.35">
      <c r="A118" s="47"/>
      <c r="C118" t="s">
        <v>331</v>
      </c>
      <c r="D118" s="6" t="s">
        <v>332</v>
      </c>
      <c r="E118">
        <v>7.44</v>
      </c>
      <c r="F118" t="s">
        <v>21</v>
      </c>
    </row>
    <row r="119" spans="1:6" ht="18" x14ac:dyDescent="0.35">
      <c r="A119" s="47"/>
      <c r="C119" t="s">
        <v>361</v>
      </c>
      <c r="D119" s="6" t="s">
        <v>362</v>
      </c>
      <c r="E119">
        <v>20.3</v>
      </c>
      <c r="F119" t="s">
        <v>21</v>
      </c>
    </row>
    <row r="120" spans="1:6" ht="18" x14ac:dyDescent="0.35">
      <c r="A120" s="47"/>
      <c r="C120" t="s">
        <v>363</v>
      </c>
      <c r="D120" t="s">
        <v>294</v>
      </c>
      <c r="E120" s="67">
        <v>24</v>
      </c>
      <c r="F120" t="s">
        <v>21</v>
      </c>
    </row>
    <row r="121" spans="1:6" x14ac:dyDescent="0.25">
      <c r="A121" s="47"/>
    </row>
    <row r="122" spans="1:6" x14ac:dyDescent="0.25">
      <c r="A122" s="47"/>
    </row>
    <row r="123" spans="1:6" x14ac:dyDescent="0.25">
      <c r="A123" s="47"/>
    </row>
    <row r="124" spans="1:6" ht="18" x14ac:dyDescent="0.35">
      <c r="A124" s="47"/>
      <c r="C124" s="50" t="s">
        <v>365</v>
      </c>
      <c r="D124" s="12" t="s">
        <v>376</v>
      </c>
      <c r="E124" s="15" t="s">
        <v>366</v>
      </c>
      <c r="F124" t="s">
        <v>377</v>
      </c>
    </row>
    <row r="125" spans="1:6" x14ac:dyDescent="0.25">
      <c r="A125" s="47"/>
      <c r="D125">
        <v>20.3</v>
      </c>
      <c r="E125" s="15" t="s">
        <v>366</v>
      </c>
      <c r="F125" s="73">
        <v>24</v>
      </c>
    </row>
    <row r="126" spans="1:6" x14ac:dyDescent="0.25">
      <c r="A126" s="47"/>
    </row>
    <row r="127" spans="1:6" x14ac:dyDescent="0.25">
      <c r="A127" s="47"/>
      <c r="D127" s="18" t="s">
        <v>423</v>
      </c>
    </row>
    <row r="128" spans="1:6" x14ac:dyDescent="0.25">
      <c r="A128" s="47"/>
    </row>
    <row r="129" spans="1:1" x14ac:dyDescent="0.25">
      <c r="A129" s="47"/>
    </row>
    <row r="130" spans="1:1" x14ac:dyDescent="0.25">
      <c r="A130" s="47"/>
    </row>
    <row r="131" spans="1:1" x14ac:dyDescent="0.25">
      <c r="A131" s="47"/>
    </row>
    <row r="132" spans="1:1" x14ac:dyDescent="0.25">
      <c r="A132" s="47"/>
    </row>
    <row r="133" spans="1:1" x14ac:dyDescent="0.25">
      <c r="A133" s="47"/>
    </row>
    <row r="134" spans="1:1" x14ac:dyDescent="0.25">
      <c r="A134" s="47"/>
    </row>
    <row r="135" spans="1:1" x14ac:dyDescent="0.25">
      <c r="A135" s="47"/>
    </row>
    <row r="136" spans="1:1" x14ac:dyDescent="0.25">
      <c r="A136" s="47"/>
    </row>
    <row r="137" spans="1:1" x14ac:dyDescent="0.25">
      <c r="A137" s="47"/>
    </row>
    <row r="138" spans="1:1" x14ac:dyDescent="0.25">
      <c r="A138" s="47"/>
    </row>
  </sheetData>
  <pageMargins left="0.31496062992125984" right="0.31496062992125984" top="0.78740157480314965" bottom="0.78740157480314965" header="0.31496062992125984" footer="0.31496062992125984"/>
  <pageSetup paperSize="9" orientation="portrait" r:id="rId1"/>
  <rowBreaks count="3" manualBreakCount="3">
    <brk id="47" max="16383" man="1"/>
    <brk id="92" max="16383" man="1"/>
    <brk id="138" max="16383" man="1"/>
  </rowBreaks>
  <drawing r:id="rId2"/>
  <legacyDrawing r:id="rId3"/>
  <controls>
    <mc:AlternateContent xmlns:mc="http://schemas.openxmlformats.org/markup-compatibility/2006">
      <mc:Choice Requires="x14">
        <control shapeId="7172" r:id="rId4" name="Combutt_protokol6">
          <controlPr defaultSize="0" autoLine="0" r:id="rId5">
            <anchor moveWithCells="1">
              <from>
                <xdr:col>2</xdr:col>
                <xdr:colOff>2200275</xdr:colOff>
                <xdr:row>0</xdr:row>
                <xdr:rowOff>66675</xdr:rowOff>
              </from>
              <to>
                <xdr:col>2</xdr:col>
                <xdr:colOff>3219450</xdr:colOff>
                <xdr:row>0</xdr:row>
                <xdr:rowOff>342900</xdr:rowOff>
              </to>
            </anchor>
          </controlPr>
        </control>
      </mc:Choice>
      <mc:Fallback>
        <control shapeId="7172" r:id="rId4" name="Combutt_protokol6"/>
      </mc:Fallback>
    </mc:AlternateContent>
    <mc:AlternateContent xmlns:mc="http://schemas.openxmlformats.org/markup-compatibility/2006">
      <mc:Choice Requires="x14">
        <control shapeId="7170" r:id="rId6" name="Combutt_protokol4">
          <controlPr defaultSize="0" autoLine="0" autoPict="0" r:id="rId7">
            <anchor moveWithCells="1">
              <from>
                <xdr:col>2</xdr:col>
                <xdr:colOff>1143000</xdr:colOff>
                <xdr:row>0</xdr:row>
                <xdr:rowOff>66675</xdr:rowOff>
              </from>
              <to>
                <xdr:col>2</xdr:col>
                <xdr:colOff>2162175</xdr:colOff>
                <xdr:row>0</xdr:row>
                <xdr:rowOff>342900</xdr:rowOff>
              </to>
            </anchor>
          </controlPr>
        </control>
      </mc:Choice>
      <mc:Fallback>
        <control shapeId="7170" r:id="rId6" name="Combutt_protokol4"/>
      </mc:Fallback>
    </mc:AlternateContent>
    <mc:AlternateContent xmlns:mc="http://schemas.openxmlformats.org/markup-compatibility/2006">
      <mc:Choice Requires="x14">
        <control shapeId="7169" r:id="rId8" name="Combutt_protokol2">
          <controlPr defaultSize="0" autoLine="0" autoPict="0" r:id="rId9">
            <anchor moveWithCells="1">
              <from>
                <xdr:col>2</xdr:col>
                <xdr:colOff>85725</xdr:colOff>
                <xdr:row>0</xdr:row>
                <xdr:rowOff>66675</xdr:rowOff>
              </from>
              <to>
                <xdr:col>2</xdr:col>
                <xdr:colOff>1104900</xdr:colOff>
                <xdr:row>0</xdr:row>
                <xdr:rowOff>342900</xdr:rowOff>
              </to>
            </anchor>
          </controlPr>
        </control>
      </mc:Choice>
      <mc:Fallback>
        <control shapeId="7169" r:id="rId8" name="Combutt_protokol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N110"/>
  <sheetViews>
    <sheetView topLeftCell="A25" workbookViewId="0">
      <selection activeCell="I5" sqref="I5"/>
    </sheetView>
  </sheetViews>
  <sheetFormatPr defaultRowHeight="15" x14ac:dyDescent="0.25"/>
  <cols>
    <col min="2" max="2" width="16.42578125" customWidth="1"/>
    <col min="4" max="4" width="22.7109375" bestFit="1" customWidth="1"/>
    <col min="5" max="5" width="20.42578125" bestFit="1" customWidth="1"/>
    <col min="6" max="6" width="16.42578125" bestFit="1" customWidth="1"/>
    <col min="8" max="8" width="12" bestFit="1" customWidth="1"/>
    <col min="9" max="9" width="13.7109375" bestFit="1" customWidth="1"/>
    <col min="10" max="10" width="8.5703125" bestFit="1" customWidth="1"/>
  </cols>
  <sheetData>
    <row r="1" spans="2:12" ht="15.75" thickBot="1" x14ac:dyDescent="0.3">
      <c r="B1" s="31" t="s">
        <v>0</v>
      </c>
      <c r="C1" s="32" t="s">
        <v>12</v>
      </c>
      <c r="D1" s="32">
        <v>30</v>
      </c>
      <c r="E1" s="32">
        <v>200</v>
      </c>
      <c r="F1" s="32"/>
      <c r="G1" s="32"/>
      <c r="H1" s="32"/>
      <c r="I1" s="32"/>
      <c r="J1" s="32"/>
      <c r="K1" s="26"/>
    </row>
    <row r="2" spans="2:12" ht="15.75" thickBot="1" x14ac:dyDescent="0.3"/>
    <row r="3" spans="2:12" x14ac:dyDescent="0.25">
      <c r="B3" s="33" t="s">
        <v>8</v>
      </c>
      <c r="C3" s="34" t="s">
        <v>9</v>
      </c>
      <c r="D3" s="34" t="s">
        <v>15</v>
      </c>
      <c r="E3" s="34" t="s">
        <v>16</v>
      </c>
      <c r="F3" s="34" t="s">
        <v>17</v>
      </c>
      <c r="G3" s="34" t="s">
        <v>18</v>
      </c>
      <c r="H3" s="34" t="s">
        <v>9</v>
      </c>
      <c r="I3" s="34" t="s">
        <v>53</v>
      </c>
      <c r="J3" s="34" t="s">
        <v>135</v>
      </c>
      <c r="K3" s="44" t="s">
        <v>201</v>
      </c>
    </row>
    <row r="4" spans="2:12" x14ac:dyDescent="0.25">
      <c r="B4" s="35" t="s">
        <v>2</v>
      </c>
      <c r="C4" s="22" t="s">
        <v>14</v>
      </c>
      <c r="D4" s="22"/>
      <c r="E4" s="22"/>
      <c r="F4" s="22"/>
      <c r="G4" s="22"/>
      <c r="H4" s="22"/>
      <c r="I4" s="22"/>
      <c r="J4" s="22"/>
      <c r="K4" s="36"/>
    </row>
    <row r="5" spans="2:12" x14ac:dyDescent="0.25">
      <c r="B5" s="35" t="s">
        <v>3</v>
      </c>
      <c r="C5" s="22" t="s">
        <v>12</v>
      </c>
      <c r="D5" s="22"/>
      <c r="E5" s="22"/>
      <c r="F5" s="55">
        <v>6</v>
      </c>
      <c r="G5" s="53">
        <v>5</v>
      </c>
      <c r="H5" s="22">
        <v>16</v>
      </c>
      <c r="I5" s="22">
        <v>40</v>
      </c>
      <c r="J5" s="43" t="s">
        <v>131</v>
      </c>
      <c r="K5" s="36">
        <v>0.6</v>
      </c>
      <c r="L5" s="61">
        <v>2</v>
      </c>
    </row>
    <row r="6" spans="2:12" x14ac:dyDescent="0.25">
      <c r="B6" s="35" t="s">
        <v>0</v>
      </c>
      <c r="C6" s="22" t="s">
        <v>11</v>
      </c>
      <c r="D6" s="22"/>
      <c r="E6" s="22"/>
      <c r="F6" s="55" t="s">
        <v>411</v>
      </c>
      <c r="G6" s="22">
        <v>10</v>
      </c>
      <c r="H6" s="22">
        <v>5</v>
      </c>
      <c r="I6" s="22"/>
      <c r="J6" s="22"/>
      <c r="K6" s="36">
        <v>0.7</v>
      </c>
      <c r="L6" s="61">
        <v>1</v>
      </c>
    </row>
    <row r="7" spans="2:12" x14ac:dyDescent="0.25">
      <c r="B7" s="35" t="s">
        <v>4</v>
      </c>
      <c r="C7" s="22" t="s">
        <v>10</v>
      </c>
      <c r="D7" s="22"/>
      <c r="E7" s="22"/>
      <c r="F7" s="55" t="s">
        <v>412</v>
      </c>
      <c r="G7" s="22"/>
      <c r="H7" s="22">
        <v>0</v>
      </c>
      <c r="I7" s="22" t="s">
        <v>77</v>
      </c>
      <c r="J7" s="22"/>
      <c r="K7" s="36"/>
    </row>
    <row r="8" spans="2:12" x14ac:dyDescent="0.25">
      <c r="B8" s="35" t="s">
        <v>1</v>
      </c>
      <c r="C8" s="22" t="s">
        <v>13</v>
      </c>
      <c r="D8" s="22"/>
      <c r="E8" s="22"/>
      <c r="F8" s="22"/>
      <c r="G8" s="22"/>
      <c r="H8" s="22">
        <v>30</v>
      </c>
      <c r="I8" s="22">
        <v>28</v>
      </c>
      <c r="J8" s="22"/>
      <c r="K8" s="36"/>
    </row>
    <row r="9" spans="2:12" x14ac:dyDescent="0.25">
      <c r="B9" s="35" t="s">
        <v>5</v>
      </c>
      <c r="C9" s="22"/>
      <c r="D9" s="22"/>
      <c r="E9" s="22"/>
      <c r="F9" s="22"/>
      <c r="G9" s="22"/>
      <c r="H9" s="22"/>
      <c r="I9" s="22">
        <v>7</v>
      </c>
      <c r="J9" s="22"/>
      <c r="K9" s="36"/>
    </row>
    <row r="10" spans="2:12" x14ac:dyDescent="0.25">
      <c r="B10" s="35" t="s">
        <v>6</v>
      </c>
      <c r="C10" s="22"/>
      <c r="D10" s="22"/>
      <c r="E10" s="22"/>
      <c r="F10" s="22"/>
      <c r="G10" s="22"/>
      <c r="H10" s="22"/>
      <c r="I10" s="22"/>
      <c r="J10" s="22"/>
      <c r="K10" s="36"/>
    </row>
    <row r="11" spans="2:12" x14ac:dyDescent="0.25">
      <c r="B11" s="35" t="s">
        <v>45</v>
      </c>
      <c r="C11" s="22"/>
      <c r="D11" s="22"/>
      <c r="E11" s="22"/>
      <c r="F11" s="22"/>
      <c r="G11" s="22"/>
      <c r="H11" s="22"/>
      <c r="I11" s="22"/>
      <c r="J11" s="22"/>
      <c r="K11" s="36"/>
    </row>
    <row r="12" spans="2:12" x14ac:dyDescent="0.25">
      <c r="B12" s="35" t="s">
        <v>7</v>
      </c>
      <c r="C12" s="22"/>
      <c r="D12" s="22"/>
      <c r="E12" s="22"/>
      <c r="F12" s="22"/>
      <c r="G12" s="22"/>
      <c r="H12" s="22"/>
      <c r="I12" s="22"/>
      <c r="J12" s="22"/>
      <c r="K12" s="36"/>
    </row>
    <row r="13" spans="2:12" x14ac:dyDescent="0.25">
      <c r="B13" s="35"/>
      <c r="C13" s="22"/>
      <c r="D13" s="22"/>
      <c r="E13" s="22"/>
      <c r="F13" s="22"/>
      <c r="G13" s="22"/>
      <c r="H13" s="22"/>
      <c r="I13" s="22"/>
      <c r="J13" s="22"/>
      <c r="K13" s="36"/>
    </row>
    <row r="14" spans="2:12" x14ac:dyDescent="0.25">
      <c r="B14" s="35">
        <v>2.2000000000000002</v>
      </c>
      <c r="C14" s="22">
        <v>500</v>
      </c>
      <c r="D14" s="22"/>
      <c r="E14" s="22"/>
      <c r="F14" s="22"/>
      <c r="G14" s="22" t="s">
        <v>387</v>
      </c>
      <c r="H14" s="22">
        <f>PI()*$H$5^(2)*$H$6/4</f>
        <v>1005.3096491487338</v>
      </c>
      <c r="I14" s="22"/>
      <c r="J14" s="22"/>
      <c r="K14" s="36"/>
    </row>
    <row r="15" spans="2:12" x14ac:dyDescent="0.25">
      <c r="B15" s="35"/>
      <c r="C15" s="22"/>
      <c r="D15" s="22"/>
      <c r="E15" s="22"/>
      <c r="F15" s="22"/>
      <c r="G15" s="22" t="s">
        <v>386</v>
      </c>
      <c r="H15" s="22">
        <f>0.0013*$F$7*$D$23*1000000</f>
        <v>133.9</v>
      </c>
      <c r="I15" s="22"/>
      <c r="J15" s="22"/>
      <c r="K15" s="36"/>
    </row>
    <row r="16" spans="2:12" x14ac:dyDescent="0.25">
      <c r="B16" s="35"/>
      <c r="C16" s="22"/>
      <c r="D16" s="22"/>
      <c r="F16" s="22"/>
      <c r="G16" s="22" t="s">
        <v>386</v>
      </c>
      <c r="H16" s="22">
        <f>0.26*($B$14/$C$14)*$F$7*$D$23*1000000</f>
        <v>117.83200000000002</v>
      </c>
      <c r="I16" s="22"/>
      <c r="J16" s="22"/>
      <c r="K16" s="36"/>
    </row>
    <row r="17" spans="1:13" ht="15.75" thickBot="1" x14ac:dyDescent="0.3"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9" spans="1:13" x14ac:dyDescent="0.25">
      <c r="B19" s="4" t="s">
        <v>26</v>
      </c>
    </row>
    <row r="20" spans="1:13" ht="18" x14ac:dyDescent="0.35">
      <c r="B20" t="s">
        <v>19</v>
      </c>
      <c r="C20" t="s">
        <v>184</v>
      </c>
      <c r="D20" s="3">
        <v>1005.3096491487338</v>
      </c>
      <c r="E20" s="1">
        <f>ROUND(D20,2)</f>
        <v>1005.31</v>
      </c>
      <c r="F20" t="s">
        <v>22</v>
      </c>
      <c r="G20" s="15" t="s">
        <v>101</v>
      </c>
      <c r="H20">
        <f>D20/1000000</f>
        <v>1.0053096491487337E-3</v>
      </c>
      <c r="I20" t="s">
        <v>23</v>
      </c>
    </row>
    <row r="21" spans="1:13" ht="18" x14ac:dyDescent="0.35">
      <c r="B21" t="s">
        <v>20</v>
      </c>
      <c r="C21" t="s">
        <v>183</v>
      </c>
      <c r="D21" s="2">
        <f>$F$6*$F$7</f>
        <v>0.1125</v>
      </c>
      <c r="E21">
        <f>ROUND(D21,4)</f>
        <v>0.1125</v>
      </c>
      <c r="F21" t="s">
        <v>23</v>
      </c>
    </row>
    <row r="22" spans="1:13" ht="18" x14ac:dyDescent="0.35">
      <c r="B22" t="s">
        <v>182</v>
      </c>
      <c r="C22" t="s">
        <v>182</v>
      </c>
      <c r="D22">
        <f>$H$8+$H$7+$H$5/2</f>
        <v>38</v>
      </c>
      <c r="E22">
        <f>ROUND(D22,4)</f>
        <v>38</v>
      </c>
      <c r="F22" t="s">
        <v>21</v>
      </c>
    </row>
    <row r="23" spans="1:13" x14ac:dyDescent="0.25">
      <c r="B23" t="s">
        <v>24</v>
      </c>
      <c r="C23" t="s">
        <v>24</v>
      </c>
      <c r="D23">
        <f>$F$6-$D$22/1000</f>
        <v>0.41200000000000003</v>
      </c>
      <c r="E23">
        <f>ROUND(D23,4)</f>
        <v>0.41199999999999998</v>
      </c>
      <c r="F23" t="s">
        <v>25</v>
      </c>
    </row>
    <row r="24" spans="1:13" ht="18" x14ac:dyDescent="0.35">
      <c r="C24" t="s">
        <v>388</v>
      </c>
      <c r="D24" s="67">
        <f>$F$5*1000/250</f>
        <v>24</v>
      </c>
      <c r="E24" s="67">
        <f>ROUND(D24,2)</f>
        <v>24</v>
      </c>
      <c r="F24" t="s">
        <v>21</v>
      </c>
    </row>
    <row r="25" spans="1:13" ht="18" x14ac:dyDescent="0.35">
      <c r="B25" t="s">
        <v>185</v>
      </c>
      <c r="C25" t="s">
        <v>186</v>
      </c>
      <c r="D25">
        <f>$G$5+$G$6*$K$5</f>
        <v>11</v>
      </c>
      <c r="E25" s="1">
        <f>ROUND(D25,2)</f>
        <v>11</v>
      </c>
      <c r="F25" t="s">
        <v>27</v>
      </c>
      <c r="G25" s="54"/>
      <c r="H25" s="22"/>
      <c r="I25" s="54"/>
      <c r="J25" s="22"/>
    </row>
    <row r="26" spans="1:13" ht="18" x14ac:dyDescent="0.35">
      <c r="A26" s="17"/>
      <c r="B26" s="17"/>
      <c r="C26" s="17" t="s">
        <v>121</v>
      </c>
      <c r="D26" s="17">
        <f>1/8*$D$25*$F$5*$F$5</f>
        <v>49.5</v>
      </c>
      <c r="E26" s="74">
        <f>ROUND(D26,2)</f>
        <v>49.5</v>
      </c>
      <c r="F26" s="17" t="s">
        <v>28</v>
      </c>
      <c r="G26" s="22"/>
      <c r="H26" s="55"/>
      <c r="I26" s="22"/>
      <c r="J26" s="55"/>
      <c r="M26" s="22"/>
    </row>
    <row r="27" spans="1:13" ht="18" x14ac:dyDescent="0.35">
      <c r="A27" s="8"/>
      <c r="C27" t="s">
        <v>104</v>
      </c>
      <c r="D27">
        <f>(2*$F$6*$F$7)/(2*($F$6+$F$7))</f>
        <v>0.16071428571428573</v>
      </c>
      <c r="E27">
        <f>ROUND(D27,4)</f>
        <v>0.16070000000000001</v>
      </c>
      <c r="F27" t="s">
        <v>25</v>
      </c>
    </row>
    <row r="28" spans="1:13" x14ac:dyDescent="0.25">
      <c r="B28" t="s">
        <v>29</v>
      </c>
      <c r="C28" t="s">
        <v>30</v>
      </c>
      <c r="D28" s="13">
        <v>3.2621721527911944</v>
      </c>
      <c r="E28">
        <f>ROUND(D28,2)</f>
        <v>3.26</v>
      </c>
      <c r="F28" t="s">
        <v>84</v>
      </c>
    </row>
    <row r="29" spans="1:13" ht="18" x14ac:dyDescent="0.35">
      <c r="C29" t="s">
        <v>105</v>
      </c>
      <c r="D29">
        <f>$D$1/(1+$D$28)</f>
        <v>7.0386645411198883</v>
      </c>
      <c r="E29">
        <f>ROUND(D29,2)</f>
        <v>7.04</v>
      </c>
      <c r="F29" t="s">
        <v>85</v>
      </c>
    </row>
    <row r="30" spans="1:13" ht="18" x14ac:dyDescent="0.35">
      <c r="C30" s="6" t="s">
        <v>106</v>
      </c>
      <c r="D30">
        <f>$E$1/$D$29</f>
        <v>28.414481018607965</v>
      </c>
      <c r="E30">
        <f>ROUND(D30,2)</f>
        <v>28.41</v>
      </c>
      <c r="F30" t="s">
        <v>84</v>
      </c>
    </row>
    <row r="32" spans="1:13" x14ac:dyDescent="0.25">
      <c r="B32" s="14" t="s">
        <v>109</v>
      </c>
    </row>
    <row r="33" spans="2:14" ht="18" x14ac:dyDescent="0.35">
      <c r="C33" t="s">
        <v>90</v>
      </c>
      <c r="D33">
        <f>$F$6*$F$7+($D$30)*$D$20/10^(6)</f>
        <v>0.14106535194356012</v>
      </c>
      <c r="E33">
        <f>ROUND(D33,5)</f>
        <v>0.14107</v>
      </c>
      <c r="F33" t="s">
        <v>23</v>
      </c>
      <c r="G33" t="s">
        <v>87</v>
      </c>
    </row>
    <row r="34" spans="2:14" ht="18" x14ac:dyDescent="0.35">
      <c r="C34" s="6" t="s">
        <v>91</v>
      </c>
      <c r="D34">
        <f>($D$21*$F$6/2+$D$30*$D$20*10^(-6)*$D$23)/$D$33</f>
        <v>0.26286699384256285</v>
      </c>
      <c r="E34">
        <f>ROUND(D34,5)</f>
        <v>0.26286999999999999</v>
      </c>
      <c r="F34" t="s">
        <v>86</v>
      </c>
      <c r="G34" t="s">
        <v>88</v>
      </c>
    </row>
    <row r="35" spans="2:14" ht="18" x14ac:dyDescent="0.35">
      <c r="C35" t="s">
        <v>92</v>
      </c>
      <c r="D35">
        <f>$F$7*$F$6^(3)/12+$D$21*($D$34-$F$6/2)^(2)+$D$30*$D$20*10^(-6)*($D$23-$D$34)^(2)</f>
        <v>2.6950643829629149E-3</v>
      </c>
      <c r="E35">
        <f>ROUND(D35,6)</f>
        <v>2.6949999999999999E-3</v>
      </c>
      <c r="F35" t="s">
        <v>93</v>
      </c>
      <c r="G35" t="s">
        <v>89</v>
      </c>
    </row>
    <row r="36" spans="2:14" ht="18" x14ac:dyDescent="0.35">
      <c r="C36" t="s">
        <v>117</v>
      </c>
      <c r="D36">
        <f>$D$29*1000*$D$35</f>
        <v>18.96965410839622</v>
      </c>
      <c r="E36">
        <f>ROUND(D36,3)</f>
        <v>18.97</v>
      </c>
      <c r="F36" t="s">
        <v>95</v>
      </c>
      <c r="G36" t="s">
        <v>94</v>
      </c>
    </row>
    <row r="37" spans="2:14" ht="18" x14ac:dyDescent="0.35">
      <c r="C37" t="s">
        <v>123</v>
      </c>
      <c r="D37">
        <f>1/$D$36</f>
        <v>5.271577406134078E-2</v>
      </c>
      <c r="E37">
        <f>ROUND(D37,5)</f>
        <v>5.2720000000000003E-2</v>
      </c>
      <c r="F37" t="s">
        <v>97</v>
      </c>
      <c r="G37" t="s">
        <v>96</v>
      </c>
    </row>
    <row r="38" spans="2:14" ht="18" x14ac:dyDescent="0.35">
      <c r="C38" t="s">
        <v>49</v>
      </c>
      <c r="D38">
        <v>2.2000000000000002</v>
      </c>
      <c r="F38" t="s">
        <v>83</v>
      </c>
      <c r="G38" t="s">
        <v>415</v>
      </c>
    </row>
    <row r="39" spans="2:14" ht="18" x14ac:dyDescent="0.35">
      <c r="C39" t="s">
        <v>99</v>
      </c>
      <c r="D39">
        <f>$D$38*$D$35/($F$6-$D$34)</f>
        <v>3.168410407264103E-2</v>
      </c>
      <c r="F39" t="s">
        <v>100</v>
      </c>
      <c r="G39" t="s">
        <v>98</v>
      </c>
      <c r="K39" s="15" t="s">
        <v>101</v>
      </c>
      <c r="L39">
        <f>D39*1000</f>
        <v>31.684104072641031</v>
      </c>
      <c r="M39">
        <f>ROUND(L39,2)</f>
        <v>31.68</v>
      </c>
      <c r="N39" t="s">
        <v>102</v>
      </c>
    </row>
    <row r="41" spans="2:14" x14ac:dyDescent="0.25">
      <c r="B41" s="14" t="s">
        <v>103</v>
      </c>
      <c r="I41" t="s">
        <v>167</v>
      </c>
      <c r="J41" t="s">
        <v>202</v>
      </c>
    </row>
    <row r="42" spans="2:14" ht="18" x14ac:dyDescent="0.35">
      <c r="C42" t="s">
        <v>99</v>
      </c>
      <c r="D42">
        <f>$L$39</f>
        <v>31.684104072641031</v>
      </c>
      <c r="E42" t="s">
        <v>102</v>
      </c>
      <c r="G42" t="s">
        <v>203</v>
      </c>
      <c r="I42" s="1">
        <f>ROUND($G$5+$G$6*$K$6,3)</f>
        <v>12</v>
      </c>
      <c r="J42" s="1">
        <f>ROUND(1/8*$I$42*$F$5^(2),2)</f>
        <v>54</v>
      </c>
    </row>
    <row r="43" spans="2:14" ht="18" x14ac:dyDescent="0.35">
      <c r="C43" t="s">
        <v>121</v>
      </c>
      <c r="D43">
        <f>$D$26</f>
        <v>49.5</v>
      </c>
      <c r="E43" t="s">
        <v>102</v>
      </c>
      <c r="G43" t="s">
        <v>204</v>
      </c>
      <c r="I43" s="1">
        <f>ROUND($G$5+$G$6,3)</f>
        <v>15</v>
      </c>
      <c r="J43" s="1">
        <f>ROUND(1/8*$I$43*$F$5^(2),2)</f>
        <v>67.5</v>
      </c>
    </row>
    <row r="44" spans="2:14" ht="15.75" thickBot="1" x14ac:dyDescent="0.3"/>
    <row r="45" spans="2:14" ht="15.75" thickBot="1" x14ac:dyDescent="0.3">
      <c r="D45" t="s">
        <v>107</v>
      </c>
      <c r="E45" s="57" t="s">
        <v>424</v>
      </c>
      <c r="F45" s="26"/>
    </row>
    <row r="47" spans="2:14" x14ac:dyDescent="0.25">
      <c r="B47" s="14" t="s">
        <v>110</v>
      </c>
    </row>
    <row r="48" spans="2:14" ht="18" x14ac:dyDescent="0.35">
      <c r="C48" s="6" t="s">
        <v>111</v>
      </c>
      <c r="D48">
        <f>$D$30/$F$7*$H$20*(-1+(1+(2*$F$7*$H$20*$D$23)/($D$30*$H$20^(2)))^(1/2))</f>
        <v>0.21316349859747316</v>
      </c>
      <c r="E48">
        <f>ROUND(D48,3)</f>
        <v>0.21299999999999999</v>
      </c>
      <c r="F48" t="s">
        <v>25</v>
      </c>
      <c r="G48" t="s">
        <v>113</v>
      </c>
    </row>
    <row r="49" spans="2:13" ht="18" x14ac:dyDescent="0.35">
      <c r="C49" t="s">
        <v>112</v>
      </c>
      <c r="D49">
        <f>1/3*F7*D48^(3)+D30*H20*(D23-D48)^(2)</f>
        <v>1.9365140645175708E-3</v>
      </c>
      <c r="E49">
        <f>ROUND(D49,6)</f>
        <v>1.9369999999999999E-3</v>
      </c>
      <c r="F49" t="s">
        <v>93</v>
      </c>
      <c r="G49" t="s">
        <v>114</v>
      </c>
    </row>
    <row r="50" spans="2:13" ht="18" x14ac:dyDescent="0.35">
      <c r="C50" t="s">
        <v>116</v>
      </c>
      <c r="D50">
        <f>D29*D49*1000</f>
        <v>13.630472879299779</v>
      </c>
      <c r="E50">
        <f>ROUND(D50,3)</f>
        <v>13.63</v>
      </c>
      <c r="F50" t="s">
        <v>95</v>
      </c>
      <c r="G50" t="s">
        <v>115</v>
      </c>
    </row>
    <row r="51" spans="2:13" ht="18" x14ac:dyDescent="0.35">
      <c r="C51" t="s">
        <v>122</v>
      </c>
      <c r="D51">
        <f>1/D50</f>
        <v>7.3365026206733616E-2</v>
      </c>
      <c r="E51">
        <f>ROUND(D51,5)</f>
        <v>7.3370000000000005E-2</v>
      </c>
      <c r="F51" t="s">
        <v>97</v>
      </c>
      <c r="G51" t="s">
        <v>96</v>
      </c>
    </row>
    <row r="52" spans="2:13" x14ac:dyDescent="0.25">
      <c r="C52" t="s">
        <v>119</v>
      </c>
      <c r="D52">
        <f>1-0.5*(D42/D43)^(2)</f>
        <v>0.79514693380554069</v>
      </c>
      <c r="E52">
        <f>ROUND(D52,4)</f>
        <v>0.79510000000000003</v>
      </c>
      <c r="F52" t="s">
        <v>84</v>
      </c>
      <c r="J52" s="59" t="s">
        <v>368</v>
      </c>
      <c r="K52" s="60"/>
      <c r="L52" s="69">
        <v>0.79510000000000003</v>
      </c>
      <c r="M52" t="s">
        <v>425</v>
      </c>
    </row>
    <row r="53" spans="2:13" x14ac:dyDescent="0.25">
      <c r="C53" t="s">
        <v>120</v>
      </c>
      <c r="D53">
        <f>$D$43/1000*((1-$L$52)*$D$37+$L$52*$D$51)</f>
        <v>3.4221327248860596E-3</v>
      </c>
      <c r="E53">
        <f>ROUND(D53,6)</f>
        <v>3.4220000000000001E-3</v>
      </c>
      <c r="F53" t="s">
        <v>124</v>
      </c>
      <c r="G53" t="s">
        <v>118</v>
      </c>
    </row>
    <row r="54" spans="2:13" ht="18" x14ac:dyDescent="0.35">
      <c r="B54" t="s">
        <v>166</v>
      </c>
      <c r="C54" t="s">
        <v>172</v>
      </c>
      <c r="D54">
        <f>5/48*($D$53)*$F$5^(2)</f>
        <v>1.2832997718322725E-2</v>
      </c>
      <c r="F54" t="s">
        <v>25</v>
      </c>
      <c r="G54" s="15" t="s">
        <v>101</v>
      </c>
      <c r="H54">
        <f>ROUND(D54*1000,2)</f>
        <v>12.83</v>
      </c>
      <c r="I54" t="s">
        <v>21</v>
      </c>
      <c r="K54" t="s">
        <v>170</v>
      </c>
    </row>
    <row r="55" spans="2:13" x14ac:dyDescent="0.25">
      <c r="B55" t="s">
        <v>409</v>
      </c>
      <c r="D55">
        <f>5/48*$F$5^(2)*$D$43/1000*$D$37</f>
        <v>9.7853655601363825E-3</v>
      </c>
      <c r="F55" t="s">
        <v>25</v>
      </c>
      <c r="G55" s="15" t="s">
        <v>101</v>
      </c>
      <c r="H55">
        <f>ROUND(D55*1000,1)</f>
        <v>9.8000000000000007</v>
      </c>
      <c r="I55" t="s">
        <v>21</v>
      </c>
    </row>
    <row r="56" spans="2:13" x14ac:dyDescent="0.25">
      <c r="B56" t="s">
        <v>410</v>
      </c>
      <c r="D56">
        <f>5/48*$F$5^(2)*$D$43/1000*$D$51</f>
        <v>1.3618382989624929E-2</v>
      </c>
      <c r="F56" t="s">
        <v>25</v>
      </c>
      <c r="G56" s="15" t="s">
        <v>101</v>
      </c>
      <c r="H56">
        <f>ROUND(D56*1000,1)</f>
        <v>13.6</v>
      </c>
      <c r="I56" t="s">
        <v>21</v>
      </c>
    </row>
    <row r="57" spans="2:13" x14ac:dyDescent="0.25">
      <c r="B57" s="16" t="s">
        <v>125</v>
      </c>
    </row>
    <row r="59" spans="2:13" ht="18" x14ac:dyDescent="0.35">
      <c r="B59" t="s">
        <v>29</v>
      </c>
      <c r="C59" t="s">
        <v>126</v>
      </c>
      <c r="D59">
        <v>4.238317301339122</v>
      </c>
      <c r="E59">
        <f>ROUND(D59,2)</f>
        <v>4.24</v>
      </c>
      <c r="G59" t="s">
        <v>72</v>
      </c>
      <c r="J59" s="4"/>
    </row>
    <row r="60" spans="2:13" ht="18" x14ac:dyDescent="0.35">
      <c r="C60" s="6" t="s">
        <v>143</v>
      </c>
      <c r="D60">
        <v>20</v>
      </c>
      <c r="F60" t="s">
        <v>44</v>
      </c>
      <c r="G60" t="s">
        <v>148</v>
      </c>
    </row>
    <row r="61" spans="2:13" ht="18" x14ac:dyDescent="0.35">
      <c r="C61" s="6" t="s">
        <v>144</v>
      </c>
      <c r="D61">
        <f>2.5*($D$60-10)*10^(-6)</f>
        <v>2.4999999999999998E-5</v>
      </c>
      <c r="E61">
        <f>ROUND(D61,6)</f>
        <v>2.5000000000000001E-5</v>
      </c>
      <c r="F61" t="s">
        <v>84</v>
      </c>
      <c r="G61" t="s">
        <v>142</v>
      </c>
    </row>
    <row r="62" spans="2:13" ht="18" x14ac:dyDescent="0.35">
      <c r="C62" s="6" t="s">
        <v>145</v>
      </c>
      <c r="D62">
        <f>List2!$C$50</f>
        <v>5.8163088827596209E-4</v>
      </c>
      <c r="E62">
        <f>ROUND(D62,6)</f>
        <v>5.8200000000000005E-4</v>
      </c>
      <c r="F62" t="s">
        <v>84</v>
      </c>
      <c r="G62" t="s">
        <v>146</v>
      </c>
    </row>
    <row r="63" spans="2:13" ht="18" x14ac:dyDescent="0.35">
      <c r="C63" s="6" t="s">
        <v>147</v>
      </c>
      <c r="D63">
        <f>$D$61+$D$62</f>
        <v>6.0663088827596205E-4</v>
      </c>
      <c r="E63">
        <f>ROUND(D63,6)</f>
        <v>6.0700000000000001E-4</v>
      </c>
      <c r="F63" t="s">
        <v>84</v>
      </c>
    </row>
    <row r="64" spans="2:13" ht="18" x14ac:dyDescent="0.35">
      <c r="C64" s="6" t="s">
        <v>150</v>
      </c>
      <c r="D64">
        <f>$D$1/(1+$D$59)</f>
        <v>5.7270299361840502</v>
      </c>
      <c r="E64">
        <f>ROUND(D64,2)</f>
        <v>5.73</v>
      </c>
      <c r="F64" t="s">
        <v>151</v>
      </c>
    </row>
    <row r="65" spans="2:13" ht="18" x14ac:dyDescent="0.35">
      <c r="B65" s="17"/>
      <c r="C65" s="20" t="s">
        <v>153</v>
      </c>
      <c r="D65" s="17">
        <f>$E$1/$D$64</f>
        <v>34.922115342260817</v>
      </c>
      <c r="E65" s="17">
        <f>ROUND(D65,2)</f>
        <v>34.92</v>
      </c>
      <c r="F65" s="17" t="s">
        <v>84</v>
      </c>
      <c r="G65" s="17"/>
      <c r="H65" s="17"/>
      <c r="I65" s="17"/>
      <c r="J65" s="17"/>
      <c r="K65" s="17"/>
      <c r="L65" s="17"/>
      <c r="M65" s="17"/>
    </row>
    <row r="66" spans="2:13" x14ac:dyDescent="0.25">
      <c r="E66" s="21"/>
    </row>
    <row r="67" spans="2:13" ht="18" x14ac:dyDescent="0.35">
      <c r="C67" t="s">
        <v>154</v>
      </c>
      <c r="D67">
        <f>$D$21+$D$65*$H$20</f>
        <v>0.14760753952225983</v>
      </c>
      <c r="E67" s="22">
        <f>ROUND(D67,6)</f>
        <v>0.14760799999999999</v>
      </c>
      <c r="F67" t="s">
        <v>23</v>
      </c>
      <c r="G67" t="s">
        <v>155</v>
      </c>
    </row>
    <row r="68" spans="2:13" ht="18" x14ac:dyDescent="0.35">
      <c r="C68" s="6" t="s">
        <v>152</v>
      </c>
      <c r="D68">
        <f>($D$21*$F$6/2+$D$65*$H$20*$D$23)/$D$67</f>
        <v>0.26947679239089645</v>
      </c>
      <c r="E68" s="22">
        <f>ROUND(D68,6)</f>
        <v>0.26947700000000002</v>
      </c>
      <c r="F68" t="s">
        <v>23</v>
      </c>
      <c r="G68" t="s">
        <v>156</v>
      </c>
    </row>
    <row r="69" spans="2:13" ht="18" x14ac:dyDescent="0.35">
      <c r="C69" t="s">
        <v>157</v>
      </c>
      <c r="D69">
        <f>$F$7*$F$6^(3)/12+$D$21*($D$68-$F$6/2)^(2)+$D$65*$H$20*($D$23-$D$68)^(2)</f>
        <v>2.8341180199234839E-3</v>
      </c>
      <c r="E69" s="22">
        <f>ROUND(D69,6)</f>
        <v>2.8340000000000001E-3</v>
      </c>
      <c r="F69" t="s">
        <v>93</v>
      </c>
      <c r="G69" t="s">
        <v>89</v>
      </c>
    </row>
    <row r="70" spans="2:13" ht="18" x14ac:dyDescent="0.35">
      <c r="C70" t="s">
        <v>158</v>
      </c>
      <c r="D70">
        <f>$H$20*($D$23-$D$68)</f>
        <v>1.4327995583706006E-4</v>
      </c>
      <c r="E70" s="22">
        <f>ROUND(D70,6)</f>
        <v>1.4300000000000001E-4</v>
      </c>
      <c r="F70" t="s">
        <v>159</v>
      </c>
      <c r="G70" t="s">
        <v>160</v>
      </c>
    </row>
    <row r="73" spans="2:13" x14ac:dyDescent="0.25">
      <c r="B73" s="16" t="s">
        <v>161</v>
      </c>
    </row>
    <row r="75" spans="2:13" ht="18" x14ac:dyDescent="0.35">
      <c r="C75" s="6" t="s">
        <v>162</v>
      </c>
      <c r="D75">
        <f>$D$65/$F$7*$H$20*(-1+(1+(2*$F$7*$H$20*$D$23)/($D$65*$H$20^(2)))^(1/2))</f>
        <v>0.22758489536160562</v>
      </c>
      <c r="E75">
        <f>ROUND(D75,4)</f>
        <v>0.2276</v>
      </c>
      <c r="F75" t="s">
        <v>25</v>
      </c>
      <c r="G75" t="s">
        <v>113</v>
      </c>
    </row>
    <row r="76" spans="2:13" ht="18" x14ac:dyDescent="0.35">
      <c r="C76" t="s">
        <v>163</v>
      </c>
      <c r="D76">
        <f>1/3*$F$7*$D$75^(3)+$D$65*$H$20*($D$23-$D$75)^(2)</f>
        <v>2.1762809987653409E-3</v>
      </c>
      <c r="E76">
        <f>ROUND(D76,6)</f>
        <v>2.176E-3</v>
      </c>
      <c r="F76" t="s">
        <v>93</v>
      </c>
      <c r="G76" t="s">
        <v>114</v>
      </c>
    </row>
    <row r="77" spans="2:13" ht="18" x14ac:dyDescent="0.35">
      <c r="C77" t="s">
        <v>164</v>
      </c>
      <c r="D77">
        <f>$H$20*($D$23-$D$75)</f>
        <v>1.853942841417513E-4</v>
      </c>
      <c r="E77">
        <f>ROUND(D77,6)</f>
        <v>1.85E-4</v>
      </c>
      <c r="F77" t="s">
        <v>159</v>
      </c>
      <c r="G77" t="s">
        <v>160</v>
      </c>
    </row>
    <row r="78" spans="2:13" x14ac:dyDescent="0.25">
      <c r="C78" t="s">
        <v>120</v>
      </c>
      <c r="D78">
        <f>$D$63*$D$65*((1-$L$52)*$D$70/$D$69+$L$52*$D$77/$D$76)</f>
        <v>1.6543711079465737E-3</v>
      </c>
      <c r="E78">
        <f>ROUND(D78,6)</f>
        <v>1.6540000000000001E-3</v>
      </c>
      <c r="F78" t="s">
        <v>124</v>
      </c>
      <c r="G78" t="s">
        <v>165</v>
      </c>
    </row>
    <row r="79" spans="2:13" ht="18" x14ac:dyDescent="0.35">
      <c r="B79" t="s">
        <v>166</v>
      </c>
      <c r="C79" t="s">
        <v>169</v>
      </c>
      <c r="D79">
        <f>1/8*$D$78*$F$5^(2)</f>
        <v>7.4446699857595817E-3</v>
      </c>
      <c r="F79" t="s">
        <v>25</v>
      </c>
      <c r="G79" s="15" t="s">
        <v>101</v>
      </c>
      <c r="H79">
        <f>ROUND(D79*1000,2)</f>
        <v>7.44</v>
      </c>
      <c r="I79" t="s">
        <v>21</v>
      </c>
      <c r="K79" t="s">
        <v>168</v>
      </c>
    </row>
    <row r="82" spans="2:9" x14ac:dyDescent="0.25">
      <c r="B82" s="23" t="s">
        <v>175</v>
      </c>
    </row>
    <row r="83" spans="2:9" x14ac:dyDescent="0.25">
      <c r="B83" t="s">
        <v>171</v>
      </c>
    </row>
    <row r="84" spans="2:9" ht="15.75" thickBot="1" x14ac:dyDescent="0.3"/>
    <row r="85" spans="2:9" ht="18.75" thickBot="1" x14ac:dyDescent="0.4">
      <c r="D85" t="s">
        <v>173</v>
      </c>
      <c r="E85">
        <f>$D$54+$D$79</f>
        <v>2.0277667704082306E-2</v>
      </c>
      <c r="F85" t="s">
        <v>25</v>
      </c>
      <c r="G85" s="18" t="s">
        <v>176</v>
      </c>
      <c r="I85" s="46">
        <f>ROUND($E$85*1000,1)</f>
        <v>20.3</v>
      </c>
    </row>
    <row r="86" spans="2:9" ht="18.75" thickBot="1" x14ac:dyDescent="0.4">
      <c r="D86" t="s">
        <v>174</v>
      </c>
      <c r="E86">
        <f>$F$5/250</f>
        <v>2.4E-2</v>
      </c>
      <c r="F86" t="s">
        <v>25</v>
      </c>
      <c r="I86" s="72">
        <f>ROUND(E86,4)*1000</f>
        <v>24</v>
      </c>
    </row>
    <row r="87" spans="2:9" ht="15.75" thickBot="1" x14ac:dyDescent="0.3"/>
    <row r="88" spans="2:9" ht="15.75" thickBot="1" x14ac:dyDescent="0.3">
      <c r="D88" s="29" t="s">
        <v>175</v>
      </c>
      <c r="E88" s="30" t="s">
        <v>422</v>
      </c>
    </row>
    <row r="90" spans="2:9" x14ac:dyDescent="0.25">
      <c r="B90" s="25" t="s">
        <v>177</v>
      </c>
    </row>
    <row r="92" spans="2:9" x14ac:dyDescent="0.25">
      <c r="B92" t="s">
        <v>178</v>
      </c>
      <c r="C92" t="s">
        <v>120</v>
      </c>
      <c r="D92">
        <f>$D$43/1000*$D$37</f>
        <v>2.6094308160363685E-3</v>
      </c>
    </row>
    <row r="93" spans="2:9" x14ac:dyDescent="0.25">
      <c r="C93" t="s">
        <v>166</v>
      </c>
      <c r="D93">
        <f>5/48*$D$92*$F$5^(2)</f>
        <v>9.7853655601363825E-3</v>
      </c>
    </row>
    <row r="95" spans="2:9" x14ac:dyDescent="0.25">
      <c r="B95" t="s">
        <v>179</v>
      </c>
      <c r="C95" t="s">
        <v>120</v>
      </c>
      <c r="D95">
        <f>$D$63*$D$65*$D$70/$D$69</f>
        <v>1.0710076423014988E-3</v>
      </c>
    </row>
    <row r="96" spans="2:9" x14ac:dyDescent="0.25">
      <c r="C96" t="s">
        <v>166</v>
      </c>
      <c r="D96">
        <f>1/8*$D$95*$F$5^(2)</f>
        <v>4.8195343903567446E-3</v>
      </c>
    </row>
    <row r="98" spans="1:5" x14ac:dyDescent="0.25">
      <c r="B98" t="s">
        <v>180</v>
      </c>
    </row>
    <row r="99" spans="1:5" x14ac:dyDescent="0.25">
      <c r="C99" t="s">
        <v>167</v>
      </c>
      <c r="D99">
        <f>$D$93+$D$96</f>
        <v>1.4604899950493126E-2</v>
      </c>
      <c r="E99" t="s">
        <v>25</v>
      </c>
    </row>
    <row r="100" spans="1:5" ht="18" x14ac:dyDescent="0.35">
      <c r="C100" t="s">
        <v>181</v>
      </c>
      <c r="D100">
        <f>$E$86</f>
        <v>2.4E-2</v>
      </c>
      <c r="E100" t="s">
        <v>25</v>
      </c>
    </row>
    <row r="101" spans="1:5" ht="15.75" thickBot="1" x14ac:dyDescent="0.3"/>
    <row r="102" spans="1:5" ht="15.75" thickBot="1" x14ac:dyDescent="0.3">
      <c r="D102" s="27" t="s">
        <v>175</v>
      </c>
      <c r="E102" s="28" t="s">
        <v>422</v>
      </c>
    </row>
    <row r="108" spans="1:5" x14ac:dyDescent="0.25">
      <c r="C108" s="1"/>
    </row>
    <row r="109" spans="1:5" x14ac:dyDescent="0.25">
      <c r="A109" s="49"/>
      <c r="C109" s="1"/>
    </row>
    <row r="110" spans="1:5" x14ac:dyDescent="0.25">
      <c r="C110" s="1"/>
    </row>
  </sheetData>
  <pageMargins left="0.7" right="0.7" top="0.75" bottom="0.75" header="0.3" footer="0.3"/>
  <pageSetup paperSize="9" orientation="portrait" r:id="rId1"/>
  <ignoredErrors>
    <ignoredError sqref="E49 E36 E27" formula="1"/>
  </ignoredErrors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12</xdr:col>
                <xdr:colOff>228600</xdr:colOff>
                <xdr:row>6</xdr:row>
                <xdr:rowOff>171450</xdr:rowOff>
              </from>
              <to>
                <xdr:col>15</xdr:col>
                <xdr:colOff>523875</xdr:colOff>
                <xdr:row>11</xdr:row>
                <xdr:rowOff>9525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S65"/>
  <sheetViews>
    <sheetView workbookViewId="0">
      <selection activeCell="C16" sqref="C16"/>
    </sheetView>
  </sheetViews>
  <sheetFormatPr defaultRowHeight="15" x14ac:dyDescent="0.25"/>
  <cols>
    <col min="3" max="3" width="16.7109375" customWidth="1"/>
  </cols>
  <sheetData>
    <row r="1" spans="1:19" ht="15.75" thickBot="1" x14ac:dyDescent="0.3"/>
    <row r="2" spans="1:19" ht="15.75" thickBot="1" x14ac:dyDescent="0.3">
      <c r="B2" s="24" t="s">
        <v>31</v>
      </c>
      <c r="C2" s="32"/>
      <c r="D2" s="32"/>
      <c r="E2" s="32"/>
      <c r="F2" s="32"/>
      <c r="G2" s="32"/>
      <c r="H2" s="32"/>
      <c r="I2" s="41" t="s">
        <v>187</v>
      </c>
      <c r="J2" s="32"/>
      <c r="K2" s="32"/>
      <c r="L2" s="32"/>
      <c r="M2" s="32"/>
      <c r="N2" s="32"/>
      <c r="O2" s="26"/>
    </row>
    <row r="4" spans="1:19" x14ac:dyDescent="0.25">
      <c r="B4" s="40" t="s">
        <v>32</v>
      </c>
    </row>
    <row r="6" spans="1:19" x14ac:dyDescent="0.25">
      <c r="A6" s="11" t="s">
        <v>79</v>
      </c>
      <c r="B6" t="s">
        <v>34</v>
      </c>
      <c r="E6" t="s">
        <v>72</v>
      </c>
    </row>
    <row r="8" spans="1:19" x14ac:dyDescent="0.25">
      <c r="B8" t="s">
        <v>33</v>
      </c>
      <c r="E8" t="s">
        <v>57</v>
      </c>
    </row>
    <row r="10" spans="1:19" x14ac:dyDescent="0.25">
      <c r="B10" t="s">
        <v>35</v>
      </c>
      <c r="C10">
        <f>1+((1-($C$12/100))/(0.1*($C$13)^(1/3)))</f>
        <v>2.1035696705524485</v>
      </c>
      <c r="E10" t="s">
        <v>39</v>
      </c>
      <c r="H10" t="s">
        <v>58</v>
      </c>
    </row>
    <row r="11" spans="1:19" ht="18" x14ac:dyDescent="0.35">
      <c r="B11" t="s">
        <v>35</v>
      </c>
      <c r="C11">
        <f>(1+(1-($C$12/100))/(0.1*($C$13)^(1/3))*$C$14)*$C$15</f>
        <v>2.3946607315954771</v>
      </c>
      <c r="E11" t="s">
        <v>40</v>
      </c>
      <c r="R11" t="s">
        <v>72</v>
      </c>
      <c r="S11" t="s">
        <v>261</v>
      </c>
    </row>
    <row r="12" spans="1:19" ht="18" x14ac:dyDescent="0.35">
      <c r="B12" t="s">
        <v>36</v>
      </c>
      <c r="C12" s="8">
        <f>List1!$I$5</f>
        <v>40</v>
      </c>
      <c r="D12" t="s">
        <v>37</v>
      </c>
      <c r="F12" t="s">
        <v>62</v>
      </c>
      <c r="R12" t="s">
        <v>57</v>
      </c>
      <c r="S12" t="s">
        <v>262</v>
      </c>
    </row>
    <row r="13" spans="1:19" x14ac:dyDescent="0.25">
      <c r="B13" t="s">
        <v>38</v>
      </c>
      <c r="C13">
        <f>List1!$D$27*1000</f>
        <v>160.71428571428572</v>
      </c>
      <c r="D13" t="s">
        <v>59</v>
      </c>
      <c r="F13" t="s">
        <v>61</v>
      </c>
    </row>
    <row r="14" spans="1:19" x14ac:dyDescent="0.25">
      <c r="B14" s="6" t="s">
        <v>41</v>
      </c>
      <c r="C14">
        <f>(35/$C$16)^(0.7)</f>
        <v>1.1690605597782766</v>
      </c>
      <c r="F14" t="s">
        <v>60</v>
      </c>
    </row>
    <row r="15" spans="1:19" x14ac:dyDescent="0.25">
      <c r="B15" t="s">
        <v>42</v>
      </c>
      <c r="C15">
        <f>(35/$C$16)^(0.2)</f>
        <v>1.0456395525912732</v>
      </c>
      <c r="F15" t="s">
        <v>60</v>
      </c>
    </row>
    <row r="16" spans="1:19" x14ac:dyDescent="0.25">
      <c r="B16" t="s">
        <v>43</v>
      </c>
      <c r="C16" s="8">
        <v>28</v>
      </c>
      <c r="D16" t="s">
        <v>44</v>
      </c>
      <c r="F16" t="s">
        <v>55</v>
      </c>
    </row>
    <row r="18" spans="2:10" x14ac:dyDescent="0.25">
      <c r="B18" t="s">
        <v>54</v>
      </c>
      <c r="C18">
        <f>16.8/($C$16)^(1/2)</f>
        <v>3.1749015732775088</v>
      </c>
      <c r="F18" t="s">
        <v>56</v>
      </c>
    </row>
    <row r="19" spans="2:10" x14ac:dyDescent="0.25">
      <c r="F19" t="s">
        <v>57</v>
      </c>
    </row>
    <row r="21" spans="2:10" x14ac:dyDescent="0.25">
      <c r="B21" t="s">
        <v>63</v>
      </c>
      <c r="C21">
        <f>1/(0.1+$C$61^(0.2))</f>
        <v>0.48844954537902541</v>
      </c>
      <c r="F21" t="s">
        <v>67</v>
      </c>
    </row>
    <row r="22" spans="2:10" x14ac:dyDescent="0.25">
      <c r="B22" t="s">
        <v>64</v>
      </c>
      <c r="C22" s="8">
        <f>$C$61</f>
        <v>28</v>
      </c>
      <c r="D22" t="s">
        <v>66</v>
      </c>
      <c r="F22" t="s">
        <v>65</v>
      </c>
    </row>
    <row r="23" spans="2:10" x14ac:dyDescent="0.25">
      <c r="B23" t="s">
        <v>68</v>
      </c>
      <c r="C23">
        <f>1000000000*356</f>
        <v>356000000000</v>
      </c>
      <c r="D23" t="s">
        <v>66</v>
      </c>
      <c r="F23" t="s">
        <v>189</v>
      </c>
    </row>
    <row r="25" spans="2:10" x14ac:dyDescent="0.25">
      <c r="B25" t="s">
        <v>70</v>
      </c>
      <c r="C25">
        <f>(($C$23-$C$61)/($C$31+$C$23-$C$61))^(0.3)</f>
        <v>0.99999999958617536</v>
      </c>
      <c r="F25" t="s">
        <v>39</v>
      </c>
      <c r="H25" t="s">
        <v>73</v>
      </c>
    </row>
    <row r="26" spans="2:10" x14ac:dyDescent="0.25">
      <c r="B26" t="s">
        <v>70</v>
      </c>
      <c r="C26">
        <f>(($C$23-$C$61)/($C$32+$C$23-$C$61))^(0.3)</f>
        <v>0.99999999956130869</v>
      </c>
      <c r="F26" t="s">
        <v>40</v>
      </c>
      <c r="H26" t="s">
        <v>73</v>
      </c>
    </row>
    <row r="28" spans="2:10" x14ac:dyDescent="0.25">
      <c r="B28" s="9" t="s">
        <v>71</v>
      </c>
      <c r="C28" s="9"/>
      <c r="D28" s="19">
        <f>$C$10*$C$18*$C$21</f>
        <v>3.2621721541411617</v>
      </c>
      <c r="E28" s="19"/>
      <c r="F28" s="19" t="s">
        <v>149</v>
      </c>
      <c r="G28" s="19"/>
      <c r="H28" s="9" t="s">
        <v>57</v>
      </c>
      <c r="I28" s="9"/>
      <c r="J28" s="9"/>
    </row>
    <row r="29" spans="2:10" x14ac:dyDescent="0.25">
      <c r="B29" s="9" t="s">
        <v>71</v>
      </c>
      <c r="C29" s="9"/>
      <c r="D29" s="19">
        <f>$C$11*$C$18*$C$21</f>
        <v>3.7135901256717112</v>
      </c>
      <c r="E29" s="19"/>
      <c r="F29" s="19" t="s">
        <v>40</v>
      </c>
      <c r="G29" s="19"/>
      <c r="H29" s="9" t="s">
        <v>57</v>
      </c>
      <c r="I29" s="9"/>
      <c r="J29" s="9"/>
    </row>
    <row r="31" spans="2:10" x14ac:dyDescent="0.25">
      <c r="B31" t="s">
        <v>74</v>
      </c>
      <c r="C31">
        <f>1.5*(1+(0.012*$C$12)^18)*$C$13+250</f>
        <v>491.07186962161938</v>
      </c>
      <c r="D31" s="10" t="s">
        <v>75</v>
      </c>
      <c r="E31">
        <v>1500</v>
      </c>
      <c r="G31" t="s">
        <v>39</v>
      </c>
    </row>
    <row r="32" spans="2:10" x14ac:dyDescent="0.25">
      <c r="B32" t="s">
        <v>74</v>
      </c>
      <c r="C32">
        <f>1.5*(1+(0.012*$C$12)^18)*$C$13+250*$C$33</f>
        <v>520.58036680909311</v>
      </c>
      <c r="D32" s="10" t="s">
        <v>75</v>
      </c>
      <c r="E32">
        <f>1500*$C$33</f>
        <v>1677.0509831248423</v>
      </c>
      <c r="G32" t="s">
        <v>40</v>
      </c>
    </row>
    <row r="33" spans="1:8" x14ac:dyDescent="0.25">
      <c r="B33" t="s">
        <v>76</v>
      </c>
      <c r="C33">
        <f>(35/$C$16)^(0.5)</f>
        <v>1.1180339887498949</v>
      </c>
    </row>
    <row r="35" spans="1:8" x14ac:dyDescent="0.25">
      <c r="B35" s="9" t="s">
        <v>78</v>
      </c>
      <c r="C35" s="9"/>
      <c r="D35" s="8">
        <f>$D$28*$C$25</f>
        <v>3.2621721527911944</v>
      </c>
      <c r="F35" t="s">
        <v>39</v>
      </c>
      <c r="H35" s="9" t="s">
        <v>72</v>
      </c>
    </row>
    <row r="36" spans="1:8" x14ac:dyDescent="0.25">
      <c r="B36" s="9" t="s">
        <v>78</v>
      </c>
      <c r="C36" s="9"/>
      <c r="D36" s="8">
        <f>$D$29*$C$26</f>
        <v>3.7135901240425917</v>
      </c>
      <c r="F36" t="s">
        <v>40</v>
      </c>
      <c r="H36" s="9" t="s">
        <v>72</v>
      </c>
    </row>
    <row r="38" spans="1:8" x14ac:dyDescent="0.25">
      <c r="A38" s="12" t="s">
        <v>80</v>
      </c>
      <c r="B38" t="s">
        <v>81</v>
      </c>
    </row>
    <row r="40" spans="1:8" x14ac:dyDescent="0.25">
      <c r="B40" t="s">
        <v>82</v>
      </c>
    </row>
    <row r="42" spans="1:8" x14ac:dyDescent="0.25">
      <c r="B42" s="40" t="s">
        <v>127</v>
      </c>
    </row>
    <row r="44" spans="1:8" x14ac:dyDescent="0.25">
      <c r="B44" t="s">
        <v>43</v>
      </c>
      <c r="C44">
        <f>$C$16</f>
        <v>28</v>
      </c>
      <c r="D44" t="s">
        <v>44</v>
      </c>
      <c r="F44" t="s">
        <v>55</v>
      </c>
    </row>
    <row r="45" spans="1:8" x14ac:dyDescent="0.25">
      <c r="B45" t="s">
        <v>129</v>
      </c>
      <c r="C45">
        <v>10</v>
      </c>
      <c r="D45" t="s">
        <v>44</v>
      </c>
    </row>
    <row r="46" spans="1:8" ht="18" x14ac:dyDescent="0.35">
      <c r="B46" s="6" t="s">
        <v>136</v>
      </c>
      <c r="C46">
        <v>4</v>
      </c>
      <c r="D46" t="s">
        <v>84</v>
      </c>
      <c r="F46" t="s">
        <v>139</v>
      </c>
    </row>
    <row r="47" spans="1:8" ht="18" x14ac:dyDescent="0.35">
      <c r="B47" s="6" t="s">
        <v>137</v>
      </c>
      <c r="C47">
        <v>0.12</v>
      </c>
      <c r="D47" t="s">
        <v>84</v>
      </c>
      <c r="F47" t="s">
        <v>139</v>
      </c>
    </row>
    <row r="48" spans="1:8" ht="18" x14ac:dyDescent="0.35">
      <c r="B48" s="6" t="s">
        <v>138</v>
      </c>
      <c r="C48">
        <f>1.55*(1-($C$12/100)^(3))</f>
        <v>1.4507999999999999</v>
      </c>
      <c r="D48" t="s">
        <v>84</v>
      </c>
    </row>
    <row r="50" spans="1:6" ht="18" x14ac:dyDescent="0.35">
      <c r="B50" s="6" t="s">
        <v>140</v>
      </c>
      <c r="C50">
        <f>0.85*((220+110*$C$46)*EXP(-$C$47*$C$44/$C$45))*10^(-6)*$C$48</f>
        <v>5.8163088827596209E-4</v>
      </c>
      <c r="D50">
        <f>ROUND($C$50,5)</f>
        <v>5.8E-4</v>
      </c>
      <c r="E50" t="s">
        <v>84</v>
      </c>
      <c r="F50" t="s">
        <v>141</v>
      </c>
    </row>
    <row r="51" spans="1:6" x14ac:dyDescent="0.25">
      <c r="B51" s="6"/>
    </row>
    <row r="52" spans="1:6" x14ac:dyDescent="0.25">
      <c r="B52" s="6"/>
    </row>
    <row r="54" spans="1:6" x14ac:dyDescent="0.25">
      <c r="A54" s="12" t="s">
        <v>80</v>
      </c>
      <c r="B54" t="s">
        <v>81</v>
      </c>
    </row>
    <row r="56" spans="1:6" x14ac:dyDescent="0.25">
      <c r="B56" s="6" t="s">
        <v>205</v>
      </c>
      <c r="C56" s="45">
        <v>0</v>
      </c>
      <c r="D56" t="s">
        <v>84</v>
      </c>
      <c r="F56" t="s">
        <v>207</v>
      </c>
    </row>
    <row r="57" spans="1:6" x14ac:dyDescent="0.25">
      <c r="B57" s="6" t="s">
        <v>209</v>
      </c>
      <c r="C57" s="45">
        <f>List1!$I$8</f>
        <v>28</v>
      </c>
      <c r="D57" t="s">
        <v>66</v>
      </c>
      <c r="F57" t="s">
        <v>208</v>
      </c>
    </row>
    <row r="58" spans="1:6" x14ac:dyDescent="0.25">
      <c r="B58" t="s">
        <v>210</v>
      </c>
      <c r="C58" s="45">
        <v>20</v>
      </c>
      <c r="D58" t="s">
        <v>216</v>
      </c>
      <c r="F58" t="s">
        <v>211</v>
      </c>
    </row>
    <row r="59" spans="1:6" x14ac:dyDescent="0.25">
      <c r="B59" t="s">
        <v>210</v>
      </c>
      <c r="C59" s="11" t="s">
        <v>452</v>
      </c>
      <c r="D59" t="s">
        <v>216</v>
      </c>
      <c r="F59" t="s">
        <v>212</v>
      </c>
    </row>
    <row r="60" spans="1:6" ht="18" x14ac:dyDescent="0.35">
      <c r="B60" t="s">
        <v>213</v>
      </c>
      <c r="C60">
        <f>ROUND(EXP(-(4000/(273+$C$59)-13.65))*$C$57,3)</f>
        <v>28</v>
      </c>
      <c r="D60" t="s">
        <v>66</v>
      </c>
      <c r="F60" t="s">
        <v>214</v>
      </c>
    </row>
    <row r="61" spans="1:6" ht="18" x14ac:dyDescent="0.35">
      <c r="B61" t="s">
        <v>217</v>
      </c>
      <c r="C61">
        <f>$C$60*(9/(2+$C$60^(1.2))+1)^($C$56)</f>
        <v>28</v>
      </c>
      <c r="D61" t="s">
        <v>66</v>
      </c>
      <c r="F61" t="s">
        <v>215</v>
      </c>
    </row>
    <row r="65" spans="2:6" x14ac:dyDescent="0.25">
      <c r="B65" t="s">
        <v>440</v>
      </c>
      <c r="C65" s="93" t="s">
        <v>441</v>
      </c>
      <c r="D65" t="s">
        <v>66</v>
      </c>
      <c r="F65" t="s">
        <v>446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61"/>
  <sheetViews>
    <sheetView workbookViewId="0">
      <selection activeCell="K48" sqref="K48"/>
    </sheetView>
  </sheetViews>
  <sheetFormatPr defaultRowHeight="15" x14ac:dyDescent="0.25"/>
  <cols>
    <col min="3" max="3" width="16.7109375" customWidth="1"/>
  </cols>
  <sheetData>
    <row r="1" spans="1:15" ht="15.75" thickBot="1" x14ac:dyDescent="0.3"/>
    <row r="2" spans="1:15" ht="15.75" thickBot="1" x14ac:dyDescent="0.3">
      <c r="B2" s="24" t="s">
        <v>31</v>
      </c>
      <c r="C2" s="32"/>
      <c r="D2" s="32"/>
      <c r="E2" s="32"/>
      <c r="F2" s="32"/>
      <c r="G2" s="32"/>
      <c r="H2" s="32"/>
      <c r="I2" s="41" t="s">
        <v>128</v>
      </c>
      <c r="J2" s="32"/>
      <c r="K2" s="32"/>
      <c r="L2" s="32"/>
      <c r="M2" s="32"/>
      <c r="N2" s="32"/>
      <c r="O2" s="26"/>
    </row>
    <row r="4" spans="1:15" x14ac:dyDescent="0.25">
      <c r="B4" s="40" t="s">
        <v>32</v>
      </c>
    </row>
    <row r="6" spans="1:15" x14ac:dyDescent="0.25">
      <c r="A6" s="11" t="s">
        <v>79</v>
      </c>
      <c r="B6" t="s">
        <v>34</v>
      </c>
      <c r="E6" t="s">
        <v>72</v>
      </c>
    </row>
    <row r="8" spans="1:15" x14ac:dyDescent="0.25">
      <c r="B8" t="s">
        <v>33</v>
      </c>
      <c r="E8" t="s">
        <v>57</v>
      </c>
    </row>
    <row r="10" spans="1:15" x14ac:dyDescent="0.25">
      <c r="B10" t="s">
        <v>35</v>
      </c>
      <c r="C10">
        <f>1+(1-($C$12/100))/(0.1*($C$13)^(1/3))</f>
        <v>2.1035696705524485</v>
      </c>
      <c r="E10" t="s">
        <v>39</v>
      </c>
      <c r="H10" t="s">
        <v>58</v>
      </c>
    </row>
    <row r="11" spans="1:15" x14ac:dyDescent="0.25">
      <c r="B11" t="s">
        <v>35</v>
      </c>
      <c r="C11">
        <f>(1+(1-($C$12/100))/(0.1*($C$13)^(1/3))*$C$14)*$C$15</f>
        <v>2.3946607315954771</v>
      </c>
      <c r="E11" t="s">
        <v>40</v>
      </c>
    </row>
    <row r="12" spans="1:15" x14ac:dyDescent="0.25">
      <c r="B12" t="s">
        <v>36</v>
      </c>
      <c r="C12" s="8">
        <f>List1!$I$5</f>
        <v>40</v>
      </c>
      <c r="D12" t="s">
        <v>37</v>
      </c>
      <c r="F12" t="s">
        <v>62</v>
      </c>
    </row>
    <row r="13" spans="1:15" x14ac:dyDescent="0.25">
      <c r="B13" t="s">
        <v>38</v>
      </c>
      <c r="C13">
        <f>List1!$D$27*1000</f>
        <v>160.71428571428572</v>
      </c>
      <c r="D13" t="s">
        <v>59</v>
      </c>
      <c r="F13" t="s">
        <v>61</v>
      </c>
    </row>
    <row r="14" spans="1:15" x14ac:dyDescent="0.25">
      <c r="B14" s="6" t="s">
        <v>41</v>
      </c>
      <c r="C14">
        <f>(35/$C$16)^(0.7)</f>
        <v>1.1690605597782766</v>
      </c>
      <c r="F14" t="s">
        <v>60</v>
      </c>
    </row>
    <row r="15" spans="1:15" x14ac:dyDescent="0.25">
      <c r="B15" t="s">
        <v>42</v>
      </c>
      <c r="C15">
        <f>(35/$C$16)^(0.2)</f>
        <v>1.0456395525912732</v>
      </c>
      <c r="F15" t="s">
        <v>60</v>
      </c>
    </row>
    <row r="16" spans="1:15" x14ac:dyDescent="0.25">
      <c r="B16" t="s">
        <v>43</v>
      </c>
      <c r="C16" s="8">
        <v>28</v>
      </c>
      <c r="D16" t="s">
        <v>44</v>
      </c>
      <c r="F16" t="s">
        <v>55</v>
      </c>
    </row>
    <row r="18" spans="2:8" x14ac:dyDescent="0.25">
      <c r="B18" t="s">
        <v>54</v>
      </c>
      <c r="C18">
        <f>16.8/($C$16)^(1/2)</f>
        <v>3.1749015732775088</v>
      </c>
      <c r="F18" t="s">
        <v>56</v>
      </c>
    </row>
    <row r="19" spans="2:8" x14ac:dyDescent="0.25">
      <c r="F19" t="s">
        <v>57</v>
      </c>
    </row>
    <row r="21" spans="2:8" x14ac:dyDescent="0.25">
      <c r="B21" t="s">
        <v>63</v>
      </c>
      <c r="C21">
        <f>1/(0.1+$C$22^0.2)</f>
        <v>0.63460910768913126</v>
      </c>
      <c r="F21" t="s">
        <v>67</v>
      </c>
    </row>
    <row r="22" spans="2:8" x14ac:dyDescent="0.25">
      <c r="B22" t="s">
        <v>64</v>
      </c>
      <c r="C22" s="8">
        <f>$C$61</f>
        <v>7</v>
      </c>
      <c r="D22" t="s">
        <v>66</v>
      </c>
      <c r="F22" t="s">
        <v>65</v>
      </c>
    </row>
    <row r="23" spans="2:8" x14ac:dyDescent="0.25">
      <c r="B23" t="s">
        <v>68</v>
      </c>
      <c r="C23">
        <f>List2!$C$23</f>
        <v>356000000000</v>
      </c>
      <c r="D23" t="s">
        <v>66</v>
      </c>
      <c r="F23" t="s">
        <v>69</v>
      </c>
    </row>
    <row r="25" spans="2:8" x14ac:dyDescent="0.25">
      <c r="B25" t="s">
        <v>70</v>
      </c>
      <c r="C25">
        <f>(($C$23-$C$22)/($C$31+$C$23-$C$22))^(0.3)</f>
        <v>0.99999999958617536</v>
      </c>
      <c r="F25" t="s">
        <v>39</v>
      </c>
      <c r="H25" t="s">
        <v>73</v>
      </c>
    </row>
    <row r="26" spans="2:8" x14ac:dyDescent="0.25">
      <c r="B26" t="s">
        <v>70</v>
      </c>
      <c r="C26">
        <f>(($C$23-$C$22)/($C$32+$C$23-$C$22))^(0.3)</f>
        <v>0.99999999956130869</v>
      </c>
      <c r="F26" t="s">
        <v>40</v>
      </c>
      <c r="H26" t="s">
        <v>73</v>
      </c>
    </row>
    <row r="28" spans="2:8" x14ac:dyDescent="0.25">
      <c r="B28" t="s">
        <v>71</v>
      </c>
      <c r="D28">
        <f>$C$10*$C$18*$C$21</f>
        <v>4.2383173030930426</v>
      </c>
      <c r="F28" t="s">
        <v>39</v>
      </c>
      <c r="H28" t="s">
        <v>57</v>
      </c>
    </row>
    <row r="29" spans="2:8" x14ac:dyDescent="0.25">
      <c r="B29" t="s">
        <v>71</v>
      </c>
      <c r="D29">
        <f>$C$11*$C$18*$C$21</f>
        <v>4.82481381807197</v>
      </c>
      <c r="F29" t="s">
        <v>40</v>
      </c>
      <c r="H29" t="s">
        <v>57</v>
      </c>
    </row>
    <row r="31" spans="2:8" x14ac:dyDescent="0.25">
      <c r="B31" t="s">
        <v>74</v>
      </c>
      <c r="C31">
        <f>1.5*(1+(0.012*$C$12)^18)*$C$13+250</f>
        <v>491.07186962161938</v>
      </c>
      <c r="D31" s="10" t="s">
        <v>75</v>
      </c>
      <c r="E31">
        <v>1500</v>
      </c>
      <c r="G31" t="s">
        <v>39</v>
      </c>
    </row>
    <row r="32" spans="2:8" x14ac:dyDescent="0.25">
      <c r="B32" t="s">
        <v>74</v>
      </c>
      <c r="C32">
        <f>1.5*(1+(0.012*$C$12)^18)*$C$13+250*$C$33</f>
        <v>520.58036680909311</v>
      </c>
      <c r="D32" s="10" t="s">
        <v>75</v>
      </c>
      <c r="E32">
        <f>1500*$C$33</f>
        <v>1677.0509831248423</v>
      </c>
      <c r="G32" t="s">
        <v>40</v>
      </c>
    </row>
    <row r="33" spans="2:6" x14ac:dyDescent="0.25">
      <c r="B33" t="s">
        <v>76</v>
      </c>
      <c r="C33">
        <f>(35/$C$16)^(0.5)</f>
        <v>1.1180339887498949</v>
      </c>
    </row>
    <row r="35" spans="2:6" x14ac:dyDescent="0.25">
      <c r="B35" t="s">
        <v>78</v>
      </c>
      <c r="D35" s="5">
        <f>$D$28*$C$25</f>
        <v>4.238317301339122</v>
      </c>
      <c r="F35" t="s">
        <v>39</v>
      </c>
    </row>
    <row r="36" spans="2:6" x14ac:dyDescent="0.25">
      <c r="B36" t="s">
        <v>78</v>
      </c>
      <c r="D36" s="5">
        <f>$D$29*$C$26</f>
        <v>4.8248138159553662</v>
      </c>
      <c r="F36" t="s">
        <v>40</v>
      </c>
    </row>
    <row r="54" spans="1:6" x14ac:dyDescent="0.25">
      <c r="A54" s="12" t="s">
        <v>80</v>
      </c>
      <c r="B54" t="s">
        <v>81</v>
      </c>
    </row>
    <row r="56" spans="1:6" x14ac:dyDescent="0.25">
      <c r="B56" s="6" t="s">
        <v>205</v>
      </c>
      <c r="C56" s="45">
        <f>List2!C56</f>
        <v>0</v>
      </c>
      <c r="D56" t="s">
        <v>84</v>
      </c>
      <c r="F56" t="s">
        <v>207</v>
      </c>
    </row>
    <row r="57" spans="1:6" x14ac:dyDescent="0.25">
      <c r="B57" s="6" t="s">
        <v>209</v>
      </c>
      <c r="C57" s="45">
        <f>List1!$I$9</f>
        <v>7</v>
      </c>
      <c r="D57" t="s">
        <v>66</v>
      </c>
      <c r="F57" t="s">
        <v>208</v>
      </c>
    </row>
    <row r="58" spans="1:6" x14ac:dyDescent="0.25">
      <c r="B58" t="s">
        <v>210</v>
      </c>
      <c r="C58" s="45">
        <f>List2!C58</f>
        <v>20</v>
      </c>
      <c r="D58" t="s">
        <v>216</v>
      </c>
      <c r="F58" t="s">
        <v>211</v>
      </c>
    </row>
    <row r="59" spans="1:6" x14ac:dyDescent="0.25">
      <c r="B59" t="s">
        <v>210</v>
      </c>
      <c r="C59" s="11" t="str">
        <f>List2!C59</f>
        <v>20,04</v>
      </c>
      <c r="D59" t="s">
        <v>216</v>
      </c>
      <c r="F59" t="s">
        <v>212</v>
      </c>
    </row>
    <row r="60" spans="1:6" ht="18" x14ac:dyDescent="0.35">
      <c r="B60" t="s">
        <v>213</v>
      </c>
      <c r="C60">
        <f>ROUND(EXP(-(4000/(273+$C$59)-13.65))*$C$57,3)</f>
        <v>7</v>
      </c>
      <c r="D60" t="s">
        <v>66</v>
      </c>
      <c r="F60" t="s">
        <v>214</v>
      </c>
    </row>
    <row r="61" spans="1:6" ht="18" x14ac:dyDescent="0.35">
      <c r="B61" t="s">
        <v>217</v>
      </c>
      <c r="C61">
        <f>$C$60*(9/(2+$C$60^(1.2))+1)^($C$56)</f>
        <v>7</v>
      </c>
      <c r="D61" t="s">
        <v>66</v>
      </c>
      <c r="F61" t="s">
        <v>215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P49"/>
  <sheetViews>
    <sheetView topLeftCell="A22" workbookViewId="0">
      <selection activeCell="J26" sqref="J26"/>
    </sheetView>
  </sheetViews>
  <sheetFormatPr defaultRowHeight="15" x14ac:dyDescent="0.25"/>
  <cols>
    <col min="12" max="12" width="14.5703125" customWidth="1"/>
  </cols>
  <sheetData>
    <row r="1" spans="2:16" ht="15.75" thickBot="1" x14ac:dyDescent="0.3"/>
    <row r="2" spans="2:16" ht="15.75" thickBot="1" x14ac:dyDescent="0.3">
      <c r="B2" s="31" t="s">
        <v>50</v>
      </c>
      <c r="C2" s="32"/>
      <c r="D2" s="32"/>
      <c r="E2" s="32"/>
      <c r="F2" s="26"/>
      <c r="H2" s="31" t="s">
        <v>108</v>
      </c>
      <c r="I2" s="32"/>
      <c r="J2" s="32"/>
      <c r="K2" s="32"/>
      <c r="L2" s="32"/>
      <c r="M2" s="26"/>
    </row>
    <row r="4" spans="2:16" ht="18" x14ac:dyDescent="0.35">
      <c r="C4" s="7" t="s">
        <v>47</v>
      </c>
      <c r="D4" s="7" t="s">
        <v>46</v>
      </c>
      <c r="E4" t="s">
        <v>48</v>
      </c>
      <c r="F4" t="s">
        <v>49</v>
      </c>
      <c r="M4" s="42" t="s">
        <v>190</v>
      </c>
      <c r="N4" t="s">
        <v>191</v>
      </c>
      <c r="O4" t="s">
        <v>200</v>
      </c>
    </row>
    <row r="5" spans="2:16" x14ac:dyDescent="0.25">
      <c r="B5" t="s">
        <v>2</v>
      </c>
      <c r="C5">
        <v>12</v>
      </c>
      <c r="D5">
        <v>15</v>
      </c>
      <c r="E5">
        <v>20</v>
      </c>
      <c r="F5">
        <v>1.6</v>
      </c>
      <c r="H5" t="s">
        <v>192</v>
      </c>
      <c r="M5">
        <v>0.3</v>
      </c>
      <c r="N5">
        <v>0.5</v>
      </c>
      <c r="O5">
        <v>0.7</v>
      </c>
      <c r="P5" s="58" t="s">
        <v>252</v>
      </c>
    </row>
    <row r="6" spans="2:16" x14ac:dyDescent="0.25">
      <c r="B6" t="s">
        <v>3</v>
      </c>
      <c r="C6">
        <v>16</v>
      </c>
      <c r="D6">
        <v>20</v>
      </c>
      <c r="E6">
        <v>24</v>
      </c>
      <c r="F6">
        <v>1.9</v>
      </c>
      <c r="H6" t="s">
        <v>193</v>
      </c>
      <c r="M6">
        <v>0.3</v>
      </c>
      <c r="N6">
        <v>0.5</v>
      </c>
      <c r="O6">
        <v>0.7</v>
      </c>
      <c r="P6" s="58" t="s">
        <v>253</v>
      </c>
    </row>
    <row r="7" spans="2:16" x14ac:dyDescent="0.25">
      <c r="B7" t="s">
        <v>0</v>
      </c>
      <c r="C7">
        <v>20</v>
      </c>
      <c r="D7">
        <v>25</v>
      </c>
      <c r="E7">
        <v>28</v>
      </c>
      <c r="F7">
        <v>2.2000000000000002</v>
      </c>
      <c r="H7" t="s">
        <v>194</v>
      </c>
      <c r="M7">
        <v>0.6</v>
      </c>
      <c r="N7">
        <v>0.7</v>
      </c>
      <c r="O7">
        <v>0.7</v>
      </c>
      <c r="P7" s="58" t="s">
        <v>254</v>
      </c>
    </row>
    <row r="8" spans="2:16" x14ac:dyDescent="0.25">
      <c r="B8" t="s">
        <v>4</v>
      </c>
      <c r="C8">
        <v>25</v>
      </c>
      <c r="D8">
        <v>30</v>
      </c>
      <c r="E8">
        <v>33</v>
      </c>
      <c r="F8">
        <v>2.6</v>
      </c>
      <c r="H8" t="s">
        <v>195</v>
      </c>
      <c r="M8">
        <v>0.6</v>
      </c>
      <c r="N8">
        <v>0.7</v>
      </c>
      <c r="O8">
        <v>0.7</v>
      </c>
      <c r="P8" s="58" t="s">
        <v>257</v>
      </c>
    </row>
    <row r="9" spans="2:16" x14ac:dyDescent="0.25">
      <c r="B9" t="s">
        <v>1</v>
      </c>
      <c r="C9">
        <v>30</v>
      </c>
      <c r="D9">
        <v>37</v>
      </c>
      <c r="E9">
        <v>38</v>
      </c>
      <c r="F9">
        <v>2.9</v>
      </c>
      <c r="H9" t="s">
        <v>196</v>
      </c>
      <c r="M9">
        <v>0.8</v>
      </c>
      <c r="N9">
        <v>0.9</v>
      </c>
      <c r="O9">
        <v>1</v>
      </c>
      <c r="P9" s="58" t="s">
        <v>255</v>
      </c>
    </row>
    <row r="10" spans="2:16" x14ac:dyDescent="0.25">
      <c r="B10" t="s">
        <v>5</v>
      </c>
      <c r="C10">
        <v>35</v>
      </c>
      <c r="D10">
        <v>45</v>
      </c>
      <c r="E10">
        <v>43</v>
      </c>
      <c r="F10">
        <v>3.2</v>
      </c>
      <c r="H10" t="s">
        <v>197</v>
      </c>
      <c r="M10">
        <v>0.6</v>
      </c>
      <c r="N10">
        <v>0.7</v>
      </c>
      <c r="O10">
        <v>0.7</v>
      </c>
      <c r="P10" s="58" t="s">
        <v>256</v>
      </c>
    </row>
    <row r="11" spans="2:16" x14ac:dyDescent="0.25">
      <c r="B11" t="s">
        <v>6</v>
      </c>
      <c r="C11">
        <v>40</v>
      </c>
      <c r="D11">
        <v>50</v>
      </c>
      <c r="E11">
        <v>48</v>
      </c>
      <c r="F11">
        <v>3.5</v>
      </c>
      <c r="H11" t="s">
        <v>198</v>
      </c>
      <c r="M11">
        <v>0.3</v>
      </c>
      <c r="N11">
        <v>0.5</v>
      </c>
      <c r="O11">
        <v>0.7</v>
      </c>
      <c r="P11" s="58" t="s">
        <v>258</v>
      </c>
    </row>
    <row r="12" spans="2:16" x14ac:dyDescent="0.25">
      <c r="B12" t="s">
        <v>45</v>
      </c>
      <c r="C12">
        <v>45</v>
      </c>
      <c r="D12">
        <v>55</v>
      </c>
      <c r="E12">
        <v>53</v>
      </c>
      <c r="F12">
        <v>3.8</v>
      </c>
      <c r="H12" t="s">
        <v>199</v>
      </c>
      <c r="M12">
        <v>0</v>
      </c>
      <c r="N12">
        <v>0</v>
      </c>
      <c r="O12">
        <v>0</v>
      </c>
      <c r="P12" s="58" t="s">
        <v>259</v>
      </c>
    </row>
    <row r="13" spans="2:16" x14ac:dyDescent="0.25">
      <c r="B13" t="s">
        <v>7</v>
      </c>
      <c r="C13">
        <v>50</v>
      </c>
      <c r="D13">
        <v>60</v>
      </c>
      <c r="E13">
        <v>58</v>
      </c>
      <c r="F13">
        <v>4.0999999999999996</v>
      </c>
    </row>
    <row r="14" spans="2:16" ht="15.75" thickBot="1" x14ac:dyDescent="0.3">
      <c r="H14" t="s">
        <v>195</v>
      </c>
    </row>
    <row r="15" spans="2:16" ht="15.75" thickBot="1" x14ac:dyDescent="0.3">
      <c r="B15" s="31" t="s">
        <v>51</v>
      </c>
      <c r="C15" s="32"/>
      <c r="D15" s="32"/>
      <c r="E15" s="32"/>
      <c r="F15" s="26"/>
    </row>
    <row r="17" spans="2:7" ht="18" x14ac:dyDescent="0.35">
      <c r="C17" t="s">
        <v>52</v>
      </c>
    </row>
    <row r="18" spans="2:7" x14ac:dyDescent="0.25">
      <c r="B18" t="s">
        <v>14</v>
      </c>
      <c r="C18">
        <v>400</v>
      </c>
    </row>
    <row r="19" spans="2:7" x14ac:dyDescent="0.25">
      <c r="B19" t="s">
        <v>12</v>
      </c>
      <c r="C19">
        <v>500</v>
      </c>
    </row>
    <row r="20" spans="2:7" x14ac:dyDescent="0.25">
      <c r="B20" t="s">
        <v>11</v>
      </c>
      <c r="C20">
        <v>550</v>
      </c>
    </row>
    <row r="21" spans="2:7" x14ac:dyDescent="0.25">
      <c r="B21" t="s">
        <v>10</v>
      </c>
      <c r="C21">
        <v>500</v>
      </c>
    </row>
    <row r="22" spans="2:7" x14ac:dyDescent="0.25">
      <c r="B22" t="s">
        <v>13</v>
      </c>
      <c r="C22">
        <v>550</v>
      </c>
    </row>
    <row r="24" spans="2:7" ht="15.75" thickBot="1" x14ac:dyDescent="0.3"/>
    <row r="25" spans="2:7" ht="15.75" thickBot="1" x14ac:dyDescent="0.3">
      <c r="B25" s="31" t="s">
        <v>188</v>
      </c>
      <c r="C25" s="32"/>
      <c r="D25" s="32"/>
      <c r="E25" s="32"/>
      <c r="F25" s="26"/>
    </row>
    <row r="26" spans="2:7" ht="18" x14ac:dyDescent="0.35">
      <c r="C26" s="6" t="s">
        <v>133</v>
      </c>
      <c r="D26" t="s">
        <v>134</v>
      </c>
      <c r="E26" s="6" t="s">
        <v>206</v>
      </c>
    </row>
    <row r="27" spans="2:7" x14ac:dyDescent="0.25">
      <c r="B27" t="s">
        <v>130</v>
      </c>
      <c r="C27">
        <v>3</v>
      </c>
      <c r="D27">
        <v>0.13</v>
      </c>
      <c r="E27">
        <v>1</v>
      </c>
    </row>
    <row r="28" spans="2:7" x14ac:dyDescent="0.25">
      <c r="B28" t="s">
        <v>131</v>
      </c>
      <c r="C28">
        <v>4</v>
      </c>
      <c r="D28">
        <v>0.12</v>
      </c>
      <c r="E28">
        <v>0</v>
      </c>
    </row>
    <row r="29" spans="2:7" x14ac:dyDescent="0.25">
      <c r="B29" t="s">
        <v>132</v>
      </c>
      <c r="C29">
        <v>6</v>
      </c>
      <c r="D29">
        <v>0.11</v>
      </c>
      <c r="E29">
        <v>-1</v>
      </c>
    </row>
    <row r="30" spans="2:7" ht="15.75" thickBot="1" x14ac:dyDescent="0.3"/>
    <row r="31" spans="2:7" ht="15.75" thickBot="1" x14ac:dyDescent="0.3">
      <c r="B31" s="31" t="s">
        <v>389</v>
      </c>
      <c r="C31" s="32"/>
      <c r="D31" s="32"/>
      <c r="E31" s="32"/>
      <c r="F31" s="26"/>
      <c r="G31">
        <v>0</v>
      </c>
    </row>
    <row r="32" spans="2:7" x14ac:dyDescent="0.25">
      <c r="B32" s="77" t="s">
        <v>390</v>
      </c>
      <c r="E32">
        <v>0</v>
      </c>
    </row>
    <row r="33" spans="2:5" x14ac:dyDescent="0.25">
      <c r="B33" s="77" t="s">
        <v>391</v>
      </c>
      <c r="E33">
        <v>0</v>
      </c>
    </row>
    <row r="34" spans="2:5" x14ac:dyDescent="0.25">
      <c r="B34" s="77" t="s">
        <v>392</v>
      </c>
      <c r="E34">
        <v>0</v>
      </c>
    </row>
    <row r="35" spans="2:5" x14ac:dyDescent="0.25">
      <c r="B35" s="77" t="s">
        <v>393</v>
      </c>
      <c r="E35">
        <v>0</v>
      </c>
    </row>
    <row r="36" spans="2:5" x14ac:dyDescent="0.25">
      <c r="B36" s="77" t="s">
        <v>394</v>
      </c>
      <c r="E36">
        <v>0</v>
      </c>
    </row>
    <row r="37" spans="2:5" x14ac:dyDescent="0.25">
      <c r="B37" s="77" t="s">
        <v>395</v>
      </c>
      <c r="E37">
        <v>0</v>
      </c>
    </row>
    <row r="38" spans="2:5" x14ac:dyDescent="0.25">
      <c r="B38" s="77" t="s">
        <v>396</v>
      </c>
      <c r="E38">
        <v>0</v>
      </c>
    </row>
    <row r="39" spans="2:5" x14ac:dyDescent="0.25">
      <c r="B39" s="77" t="s">
        <v>397</v>
      </c>
      <c r="E39">
        <v>0</v>
      </c>
    </row>
    <row r="40" spans="2:5" x14ac:dyDescent="0.25">
      <c r="B40" s="77" t="s">
        <v>398</v>
      </c>
      <c r="E40">
        <v>0</v>
      </c>
    </row>
    <row r="41" spans="2:5" x14ac:dyDescent="0.25">
      <c r="B41" s="77" t="s">
        <v>399</v>
      </c>
      <c r="E41">
        <v>0</v>
      </c>
    </row>
    <row r="42" spans="2:5" x14ac:dyDescent="0.25">
      <c r="B42" s="77" t="s">
        <v>400</v>
      </c>
      <c r="E42">
        <v>0</v>
      </c>
    </row>
    <row r="43" spans="2:5" x14ac:dyDescent="0.25">
      <c r="B43" s="77" t="s">
        <v>406</v>
      </c>
      <c r="E43">
        <v>0</v>
      </c>
    </row>
    <row r="44" spans="2:5" x14ac:dyDescent="0.25">
      <c r="B44" s="77" t="s">
        <v>401</v>
      </c>
      <c r="E44">
        <v>0</v>
      </c>
    </row>
    <row r="45" spans="2:5" x14ac:dyDescent="0.25">
      <c r="B45" s="77" t="s">
        <v>402</v>
      </c>
      <c r="E45">
        <v>0</v>
      </c>
    </row>
    <row r="46" spans="2:5" x14ac:dyDescent="0.25">
      <c r="B46" s="77" t="s">
        <v>403</v>
      </c>
      <c r="E46">
        <v>0</v>
      </c>
    </row>
    <row r="47" spans="2:5" x14ac:dyDescent="0.25">
      <c r="B47" s="77" t="s">
        <v>405</v>
      </c>
      <c r="E47">
        <v>0</v>
      </c>
    </row>
    <row r="48" spans="2:5" x14ac:dyDescent="0.25">
      <c r="B48" s="77" t="s">
        <v>404</v>
      </c>
      <c r="E48">
        <v>0</v>
      </c>
    </row>
    <row r="49" spans="2:5" x14ac:dyDescent="0.25">
      <c r="B49" s="77" t="s">
        <v>407</v>
      </c>
      <c r="E49">
        <v>0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Numerická analýza průhybu</vt:lpstr>
      <vt:lpstr>Součinitel dotvarování</vt:lpstr>
      <vt:lpstr>Protokol</vt:lpstr>
      <vt:lpstr>Protokol (průřez bez trhlin)</vt:lpstr>
      <vt:lpstr>List1</vt:lpstr>
      <vt:lpstr>List2</vt:lpstr>
      <vt:lpstr>List5</vt:lpstr>
      <vt:lpstr>List4</vt:lpstr>
      <vt:lpstr>Protokol!Oblast_tisku</vt:lpstr>
      <vt:lpstr>'Protokol (průřez bez trhlin)'!Oblast_tisku</vt:lpstr>
      <vt:lpstr>'Součinitel dotvarování'!Oblast_tisku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2017-05-20T20:14:23Z</dcterms:modified>
</cp:coreProperties>
</file>