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13230" windowHeight="5025" firstSheet="1" activeTab="6"/>
  </bookViews>
  <sheets>
    <sheet name="Bilanční schéma 2015" sheetId="4" r:id="rId1"/>
    <sheet name="Účetní výkazy 2015" sheetId="1" r:id="rId2"/>
    <sheet name="Parmetry" sheetId="2" r:id="rId3"/>
    <sheet name="Rozbor" sheetId="3" r:id="rId4"/>
    <sheet name="Finanční plán" sheetId="5" r:id="rId5"/>
    <sheet name="Vývoj cen realistický" sheetId="6" r:id="rId6"/>
    <sheet name="Citlivostní analýzy" sheetId="10" r:id="rId7"/>
    <sheet name="Vývoj cen alt. scn." sheetId="8" r:id="rId8"/>
    <sheet name="Finanční plán alt. scn." sheetId="9" r:id="rId9"/>
  </sheets>
  <calcPr calcId="171027"/>
</workbook>
</file>

<file path=xl/calcChain.xml><?xml version="1.0" encoding="utf-8"?>
<calcChain xmlns="http://schemas.openxmlformats.org/spreadsheetml/2006/main">
  <c r="F45" i="6" l="1"/>
  <c r="F44" i="6"/>
  <c r="E45" i="6"/>
  <c r="G3" i="6"/>
  <c r="H3" i="6" s="1"/>
  <c r="I3" i="6" s="1"/>
  <c r="J3" i="6" s="1"/>
  <c r="K3" i="6" s="1"/>
  <c r="L3" i="6" s="1"/>
  <c r="T27" i="10"/>
  <c r="U27" i="10" s="1"/>
  <c r="V27" i="10" s="1"/>
  <c r="W27" i="10" s="1"/>
  <c r="X27" i="10" s="1"/>
  <c r="Y27" i="10" s="1"/>
  <c r="Z27" i="10" s="1"/>
  <c r="T28" i="10"/>
  <c r="U28" i="10" s="1"/>
  <c r="V28" i="10" s="1"/>
  <c r="W28" i="10" s="1"/>
  <c r="X28" i="10" s="1"/>
  <c r="Y28" i="10" s="1"/>
  <c r="Z28" i="10" s="1"/>
  <c r="T29" i="10"/>
  <c r="U29" i="10"/>
  <c r="V29" i="10" s="1"/>
  <c r="W29" i="10" s="1"/>
  <c r="X29" i="10" s="1"/>
  <c r="Y29" i="10" s="1"/>
  <c r="Z29" i="10" s="1"/>
  <c r="T30" i="10"/>
  <c r="U30" i="10"/>
  <c r="V30" i="10"/>
  <c r="W30" i="10" s="1"/>
  <c r="X30" i="10" s="1"/>
  <c r="Y30" i="10" s="1"/>
  <c r="Z30" i="10" s="1"/>
  <c r="T31" i="10"/>
  <c r="U31" i="10" s="1"/>
  <c r="V31" i="10" s="1"/>
  <c r="W31" i="10" s="1"/>
  <c r="X31" i="10" s="1"/>
  <c r="Y31" i="10" s="1"/>
  <c r="Z31" i="10" s="1"/>
  <c r="S28" i="10"/>
  <c r="S29" i="10"/>
  <c r="S30" i="10"/>
  <c r="S31" i="10"/>
  <c r="S27" i="10"/>
  <c r="P69" i="6"/>
  <c r="Q69" i="6"/>
  <c r="R69" i="6"/>
  <c r="S69" i="6"/>
  <c r="T69" i="6"/>
  <c r="U69" i="6"/>
  <c r="V69" i="6"/>
  <c r="P70" i="6" s="1"/>
  <c r="W69" i="6"/>
  <c r="X69" i="6"/>
  <c r="M52" i="9"/>
  <c r="B43" i="5"/>
  <c r="N29" i="5"/>
  <c r="D42" i="9"/>
  <c r="D52" i="9"/>
  <c r="M42" i="9"/>
  <c r="Q18" i="8" l="1"/>
  <c r="B45" i="9"/>
  <c r="D20" i="9"/>
  <c r="E20" i="9"/>
  <c r="F20" i="9"/>
  <c r="G20" i="9"/>
  <c r="H20" i="9"/>
  <c r="I20" i="9"/>
  <c r="J20" i="9"/>
  <c r="K20" i="9"/>
  <c r="L20" i="9"/>
  <c r="M20" i="9" s="1"/>
  <c r="D21" i="9"/>
  <c r="E21" i="9"/>
  <c r="F21" i="9"/>
  <c r="G21" i="9"/>
  <c r="H21" i="9"/>
  <c r="I21" i="9"/>
  <c r="J21" i="9"/>
  <c r="K21" i="9"/>
  <c r="L21" i="9"/>
  <c r="M21" i="9" s="1"/>
  <c r="E19" i="9"/>
  <c r="F19" i="9"/>
  <c r="G19" i="9"/>
  <c r="H19" i="9"/>
  <c r="I19" i="9"/>
  <c r="J19" i="9"/>
  <c r="K19" i="9"/>
  <c r="L19" i="9"/>
  <c r="M19" i="9" s="1"/>
  <c r="D19" i="9"/>
  <c r="E6" i="9"/>
  <c r="F6" i="9"/>
  <c r="G6" i="9"/>
  <c r="H6" i="9"/>
  <c r="I6" i="9"/>
  <c r="J6" i="9"/>
  <c r="K6" i="9"/>
  <c r="L6" i="9"/>
  <c r="D6" i="9"/>
  <c r="E5" i="9"/>
  <c r="D5" i="9"/>
  <c r="E18" i="9"/>
  <c r="E16" i="9"/>
  <c r="F16" i="9"/>
  <c r="G16" i="9"/>
  <c r="H16" i="9"/>
  <c r="I16" i="9"/>
  <c r="J16" i="9"/>
  <c r="K16" i="9"/>
  <c r="L16" i="9"/>
  <c r="M16" i="9" s="1"/>
  <c r="D16" i="9"/>
  <c r="E14" i="5"/>
  <c r="F14" i="5"/>
  <c r="G14" i="5"/>
  <c r="H14" i="5"/>
  <c r="I14" i="5"/>
  <c r="J14" i="5"/>
  <c r="K14" i="5"/>
  <c r="L14" i="5"/>
  <c r="D14" i="5"/>
  <c r="E34" i="8"/>
  <c r="F34" i="8"/>
  <c r="G34" i="8"/>
  <c r="H34" i="8"/>
  <c r="I34" i="8"/>
  <c r="J34" i="8"/>
  <c r="K34" i="8"/>
  <c r="L34" i="8"/>
  <c r="D34" i="8"/>
  <c r="D29" i="8"/>
  <c r="E29" i="8" s="1"/>
  <c r="F29" i="8" s="1"/>
  <c r="G29" i="8" s="1"/>
  <c r="H29" i="8" s="1"/>
  <c r="I29" i="8" s="1"/>
  <c r="J29" i="8" s="1"/>
  <c r="K29" i="8" s="1"/>
  <c r="L29" i="8" s="1"/>
  <c r="E19" i="8"/>
  <c r="F19" i="8"/>
  <c r="F17" i="8" s="1"/>
  <c r="G19" i="8"/>
  <c r="G17" i="8" s="1"/>
  <c r="H19" i="8"/>
  <c r="H17" i="8" s="1"/>
  <c r="I19" i="8"/>
  <c r="J19" i="8"/>
  <c r="J17" i="8" s="1"/>
  <c r="K19" i="8"/>
  <c r="K17" i="8" s="1"/>
  <c r="L19" i="8"/>
  <c r="L17" i="8" s="1"/>
  <c r="D19" i="8"/>
  <c r="B4" i="9"/>
  <c r="C4" i="9"/>
  <c r="B5" i="9"/>
  <c r="C5" i="9"/>
  <c r="B7" i="9"/>
  <c r="C7" i="9"/>
  <c r="B8" i="9"/>
  <c r="C8" i="9"/>
  <c r="B9" i="9"/>
  <c r="C9" i="9"/>
  <c r="B10" i="9"/>
  <c r="C10" i="9"/>
  <c r="B11" i="9"/>
  <c r="C11" i="9"/>
  <c r="B12" i="9"/>
  <c r="B13" i="9"/>
  <c r="B14" i="9"/>
  <c r="B15" i="9"/>
  <c r="B16" i="9"/>
  <c r="B17" i="9"/>
  <c r="C17" i="9"/>
  <c r="B18" i="9"/>
  <c r="C18" i="9"/>
  <c r="B19" i="9"/>
  <c r="C19" i="9"/>
  <c r="B20" i="9"/>
  <c r="C20" i="9"/>
  <c r="B21" i="9"/>
  <c r="C21" i="9"/>
  <c r="B22" i="9"/>
  <c r="C22" i="9"/>
  <c r="B25" i="9"/>
  <c r="C25" i="9"/>
  <c r="B26" i="9"/>
  <c r="B28" i="9"/>
  <c r="C28" i="9"/>
  <c r="D28" i="9" s="1"/>
  <c r="E28" i="9" s="1"/>
  <c r="F28" i="9" s="1"/>
  <c r="G28" i="9" s="1"/>
  <c r="H28" i="9" s="1"/>
  <c r="I28" i="9" s="1"/>
  <c r="J28" i="9" s="1"/>
  <c r="K28" i="9" s="1"/>
  <c r="C29" i="9"/>
  <c r="L29" i="9"/>
  <c r="K29" i="9"/>
  <c r="J29" i="9"/>
  <c r="I29" i="9"/>
  <c r="H29" i="9"/>
  <c r="G29" i="9"/>
  <c r="F29" i="9"/>
  <c r="E29" i="9"/>
  <c r="D29" i="9"/>
  <c r="L25" i="9"/>
  <c r="M25" i="9" s="1"/>
  <c r="K25" i="9"/>
  <c r="J25" i="9"/>
  <c r="I25" i="9"/>
  <c r="H25" i="9"/>
  <c r="G25" i="9"/>
  <c r="F25" i="9"/>
  <c r="E25" i="9"/>
  <c r="D25" i="9"/>
  <c r="L22" i="9"/>
  <c r="M22" i="9" s="1"/>
  <c r="K22" i="9"/>
  <c r="J22" i="9"/>
  <c r="I22" i="9"/>
  <c r="H22" i="9"/>
  <c r="G22" i="9"/>
  <c r="F22" i="9"/>
  <c r="E22" i="9"/>
  <c r="D22" i="9"/>
  <c r="A22" i="9"/>
  <c r="A21" i="9"/>
  <c r="A20" i="9"/>
  <c r="A19" i="9"/>
  <c r="A18" i="9"/>
  <c r="L17" i="9"/>
  <c r="M17" i="9" s="1"/>
  <c r="K17" i="9"/>
  <c r="J17" i="9"/>
  <c r="I17" i="9"/>
  <c r="H17" i="9"/>
  <c r="G17" i="9"/>
  <c r="F17" i="9"/>
  <c r="E17" i="9"/>
  <c r="D17" i="9"/>
  <c r="L11" i="9"/>
  <c r="M11" i="9" s="1"/>
  <c r="K11" i="9"/>
  <c r="J11" i="9"/>
  <c r="I11" i="9"/>
  <c r="H11" i="9"/>
  <c r="G11" i="9"/>
  <c r="F11" i="9"/>
  <c r="E11" i="9"/>
  <c r="D11" i="9"/>
  <c r="D10" i="9"/>
  <c r="L9" i="9"/>
  <c r="M9" i="9" s="1"/>
  <c r="K9" i="9"/>
  <c r="J9" i="9"/>
  <c r="I9" i="9"/>
  <c r="H9" i="9"/>
  <c r="G9" i="9"/>
  <c r="F9" i="9"/>
  <c r="E9" i="9"/>
  <c r="D9" i="9"/>
  <c r="L8" i="9"/>
  <c r="M8" i="9" s="1"/>
  <c r="K8" i="9"/>
  <c r="J8" i="9"/>
  <c r="I8" i="9"/>
  <c r="H8" i="9"/>
  <c r="G8" i="9"/>
  <c r="F8" i="9"/>
  <c r="E8" i="9"/>
  <c r="D8" i="9"/>
  <c r="L7" i="9"/>
  <c r="M7" i="9" s="1"/>
  <c r="K7" i="9"/>
  <c r="J7" i="9"/>
  <c r="I7" i="9"/>
  <c r="H7" i="9"/>
  <c r="G7" i="9"/>
  <c r="F7" i="9"/>
  <c r="E7" i="9"/>
  <c r="D7" i="9"/>
  <c r="M6" i="9"/>
  <c r="I118" i="8"/>
  <c r="H118" i="8"/>
  <c r="G118" i="8"/>
  <c r="F118" i="8"/>
  <c r="E118" i="8"/>
  <c r="D118" i="8"/>
  <c r="C118" i="8"/>
  <c r="C119" i="8" s="1"/>
  <c r="B118" i="8"/>
  <c r="B119" i="8" s="1"/>
  <c r="D114" i="8"/>
  <c r="E114" i="8" s="1"/>
  <c r="E110" i="8"/>
  <c r="F110" i="8" s="1"/>
  <c r="G110" i="8" s="1"/>
  <c r="H110" i="8" s="1"/>
  <c r="I110" i="8" s="1"/>
  <c r="J110" i="8" s="1"/>
  <c r="K110" i="8" s="1"/>
  <c r="L110" i="8" s="1"/>
  <c r="D110" i="8"/>
  <c r="L107" i="8"/>
  <c r="K107" i="8"/>
  <c r="J107" i="8"/>
  <c r="I107" i="8"/>
  <c r="H107" i="8"/>
  <c r="G107" i="8"/>
  <c r="F107" i="8"/>
  <c r="E107" i="8"/>
  <c r="D107" i="8"/>
  <c r="C107" i="8"/>
  <c r="B107" i="8"/>
  <c r="L106" i="8"/>
  <c r="K106" i="8"/>
  <c r="J106" i="8"/>
  <c r="I106" i="8"/>
  <c r="H106" i="8"/>
  <c r="G106" i="8"/>
  <c r="F106" i="8"/>
  <c r="E106" i="8"/>
  <c r="D106" i="8"/>
  <c r="C106" i="8"/>
  <c r="B106" i="8"/>
  <c r="L105" i="8"/>
  <c r="K105" i="8"/>
  <c r="J105" i="8"/>
  <c r="I105" i="8"/>
  <c r="H105" i="8"/>
  <c r="G105" i="8"/>
  <c r="F105" i="8"/>
  <c r="E105" i="8"/>
  <c r="D105" i="8"/>
  <c r="C105" i="8"/>
  <c r="B105" i="8"/>
  <c r="B98" i="8"/>
  <c r="P97" i="8"/>
  <c r="C97" i="8"/>
  <c r="D97" i="8" s="1"/>
  <c r="B95" i="8"/>
  <c r="B99" i="8" s="1"/>
  <c r="C94" i="8"/>
  <c r="E89" i="8"/>
  <c r="F89" i="8" s="1"/>
  <c r="C89" i="8"/>
  <c r="B89" i="8"/>
  <c r="B88" i="8"/>
  <c r="J88" i="8" s="1"/>
  <c r="B86" i="8"/>
  <c r="C86" i="8" s="1"/>
  <c r="L85" i="8"/>
  <c r="K85" i="8"/>
  <c r="J85" i="8"/>
  <c r="I85" i="8"/>
  <c r="H85" i="8"/>
  <c r="G85" i="8"/>
  <c r="F85" i="8"/>
  <c r="E85" i="8"/>
  <c r="D85" i="8"/>
  <c r="C85" i="8"/>
  <c r="B85" i="8"/>
  <c r="B87" i="8" s="1"/>
  <c r="B83" i="8"/>
  <c r="C83" i="8" s="1"/>
  <c r="D83" i="8" s="1"/>
  <c r="E83" i="8" s="1"/>
  <c r="F83" i="8" s="1"/>
  <c r="G83" i="8" s="1"/>
  <c r="C82" i="8"/>
  <c r="C84" i="8" s="1"/>
  <c r="B82" i="8"/>
  <c r="AC79" i="8"/>
  <c r="AA79" i="8"/>
  <c r="Z79" i="8"/>
  <c r="L79" i="8"/>
  <c r="K79" i="8"/>
  <c r="J79" i="8"/>
  <c r="I79" i="8"/>
  <c r="H79" i="8"/>
  <c r="G79" i="8"/>
  <c r="F79" i="8"/>
  <c r="E79" i="8"/>
  <c r="D79" i="8"/>
  <c r="C76" i="8"/>
  <c r="B76" i="8"/>
  <c r="G75" i="8"/>
  <c r="H75" i="8" s="1"/>
  <c r="I75" i="8" s="1"/>
  <c r="J75" i="8" s="1"/>
  <c r="C74" i="8"/>
  <c r="B74" i="8"/>
  <c r="B77" i="8" s="1"/>
  <c r="X71" i="8"/>
  <c r="W71" i="8"/>
  <c r="V71" i="8"/>
  <c r="U71" i="8"/>
  <c r="T71" i="8"/>
  <c r="S71" i="8"/>
  <c r="R71" i="8"/>
  <c r="Q71" i="8"/>
  <c r="P71" i="8"/>
  <c r="P72" i="8" s="1"/>
  <c r="C70" i="8"/>
  <c r="D70" i="8" s="1"/>
  <c r="B70" i="8"/>
  <c r="E69" i="8"/>
  <c r="F69" i="8" s="1"/>
  <c r="G69" i="8" s="1"/>
  <c r="C69" i="8"/>
  <c r="B69" i="8"/>
  <c r="D65" i="8"/>
  <c r="E65" i="8" s="1"/>
  <c r="F65" i="8" s="1"/>
  <c r="G65" i="8" s="1"/>
  <c r="H65" i="8" s="1"/>
  <c r="I65" i="8" s="1"/>
  <c r="J65" i="8" s="1"/>
  <c r="K65" i="8" s="1"/>
  <c r="L65" i="8" s="1"/>
  <c r="B65" i="8"/>
  <c r="B60" i="8"/>
  <c r="B61" i="8" s="1"/>
  <c r="C59" i="8"/>
  <c r="C61" i="8" s="1"/>
  <c r="D61" i="8" s="1"/>
  <c r="B59" i="8"/>
  <c r="H55" i="8"/>
  <c r="H45" i="8" s="1"/>
  <c r="G55" i="8"/>
  <c r="F55" i="8"/>
  <c r="E55" i="8"/>
  <c r="D55" i="8"/>
  <c r="C55" i="8"/>
  <c r="H52" i="8"/>
  <c r="G52" i="8"/>
  <c r="F52" i="8"/>
  <c r="E52" i="8"/>
  <c r="D52" i="8"/>
  <c r="R51" i="8" s="1"/>
  <c r="C52" i="8"/>
  <c r="C51" i="8"/>
  <c r="D49" i="8"/>
  <c r="C49" i="8"/>
  <c r="D48" i="8"/>
  <c r="C48" i="8"/>
  <c r="G46" i="8"/>
  <c r="F46" i="8"/>
  <c r="G45" i="8"/>
  <c r="F45" i="8"/>
  <c r="L40" i="8"/>
  <c r="K40" i="8"/>
  <c r="J40" i="8"/>
  <c r="I40" i="8"/>
  <c r="H40" i="8"/>
  <c r="G40" i="8"/>
  <c r="F40" i="8"/>
  <c r="E40" i="8"/>
  <c r="D40" i="8"/>
  <c r="B39" i="8"/>
  <c r="B40" i="8" s="1"/>
  <c r="B41" i="8" s="1"/>
  <c r="D38" i="8"/>
  <c r="C38" i="8"/>
  <c r="R33" i="8"/>
  <c r="B33" i="8" s="1"/>
  <c r="B30" i="8"/>
  <c r="C28" i="8"/>
  <c r="D28" i="8" s="1"/>
  <c r="B17" i="8"/>
  <c r="X15" i="8"/>
  <c r="I14" i="8" s="1"/>
  <c r="I15" i="8" s="1"/>
  <c r="W15" i="8"/>
  <c r="W16" i="8" s="1"/>
  <c r="W17" i="8" s="1"/>
  <c r="V15" i="8"/>
  <c r="U15" i="8"/>
  <c r="U16" i="8" s="1"/>
  <c r="U17" i="8" s="1"/>
  <c r="T15" i="8"/>
  <c r="E14" i="8" s="1"/>
  <c r="E15" i="8" s="1"/>
  <c r="S15" i="8"/>
  <c r="R15" i="8"/>
  <c r="Q15" i="8"/>
  <c r="B15" i="8"/>
  <c r="J14" i="8"/>
  <c r="H14" i="8"/>
  <c r="H15" i="8" s="1"/>
  <c r="D14" i="8"/>
  <c r="D15" i="8" s="1"/>
  <c r="L10" i="8"/>
  <c r="E5" i="8"/>
  <c r="D5" i="8"/>
  <c r="E3" i="8"/>
  <c r="D3" i="8"/>
  <c r="F5" i="6"/>
  <c r="G5" i="6" s="1"/>
  <c r="H5" i="6" s="1"/>
  <c r="I5" i="6" s="1"/>
  <c r="J5" i="6" s="1"/>
  <c r="K5" i="6" s="1"/>
  <c r="L5" i="6" s="1"/>
  <c r="Z54" i="6"/>
  <c r="AA54" i="6" s="1"/>
  <c r="AB54" i="6" s="1"/>
  <c r="AC54" i="6" s="1"/>
  <c r="AD54" i="6" s="1"/>
  <c r="AE54" i="6" s="1"/>
  <c r="AF54" i="6" s="1"/>
  <c r="AG54" i="6" s="1"/>
  <c r="F43" i="6"/>
  <c r="E43" i="6"/>
  <c r="R16" i="8" l="1"/>
  <c r="V16" i="8"/>
  <c r="V17" i="8" s="1"/>
  <c r="H16" i="8"/>
  <c r="H20" i="8" s="1"/>
  <c r="H12" i="9" s="1"/>
  <c r="G14" i="8"/>
  <c r="G15" i="8" s="1"/>
  <c r="G16" i="8" s="1"/>
  <c r="G20" i="8" s="1"/>
  <c r="G12" i="9" s="1"/>
  <c r="F14" i="8"/>
  <c r="F15" i="8" s="1"/>
  <c r="S16" i="8"/>
  <c r="C14" i="8"/>
  <c r="C15" i="8" s="1"/>
  <c r="C16" i="8" s="1"/>
  <c r="I20" i="8"/>
  <c r="I12" i="9" s="1"/>
  <c r="D17" i="8"/>
  <c r="I17" i="8"/>
  <c r="E17" i="8"/>
  <c r="G88" i="8"/>
  <c r="K88" i="8"/>
  <c r="B27" i="9"/>
  <c r="B31" i="9" s="1"/>
  <c r="D41" i="8"/>
  <c r="D16" i="8"/>
  <c r="D20" i="8" s="1"/>
  <c r="D12" i="9" s="1"/>
  <c r="B71" i="8"/>
  <c r="C87" i="8"/>
  <c r="D86" i="8"/>
  <c r="E86" i="8" s="1"/>
  <c r="F86" i="8" s="1"/>
  <c r="G86" i="8" s="1"/>
  <c r="H86" i="8" s="1"/>
  <c r="I86" i="8" s="1"/>
  <c r="J86" i="8" s="1"/>
  <c r="K86" i="8" s="1"/>
  <c r="B90" i="8"/>
  <c r="B18" i="8"/>
  <c r="C71" i="8"/>
  <c r="E84" i="8"/>
  <c r="F10" i="9" s="1"/>
  <c r="C88" i="8"/>
  <c r="C90" i="8" s="1"/>
  <c r="B19" i="8"/>
  <c r="D51" i="8"/>
  <c r="E45" i="8" s="1"/>
  <c r="J15" i="8"/>
  <c r="K14" i="8"/>
  <c r="B35" i="8"/>
  <c r="B22" i="8" s="1"/>
  <c r="B23" i="8" s="1"/>
  <c r="B24" i="8" s="1"/>
  <c r="B25" i="8" s="1"/>
  <c r="C25" i="8" s="1"/>
  <c r="C33" i="8"/>
  <c r="D33" i="8" s="1"/>
  <c r="H83" i="8"/>
  <c r="I83" i="8" s="1"/>
  <c r="J83" i="8" s="1"/>
  <c r="K83" i="8" s="1"/>
  <c r="G84" i="8"/>
  <c r="H10" i="9" s="1"/>
  <c r="F16" i="8"/>
  <c r="F20" i="8" s="1"/>
  <c r="F12" i="9" s="1"/>
  <c r="F18" i="8"/>
  <c r="E61" i="8"/>
  <c r="D60" i="8"/>
  <c r="E76" i="8"/>
  <c r="F47" i="8"/>
  <c r="F48" i="8" s="1"/>
  <c r="F5" i="8"/>
  <c r="G47" i="8" s="1"/>
  <c r="G48" i="8" s="1"/>
  <c r="F18" i="9" s="1"/>
  <c r="E18" i="8"/>
  <c r="E16" i="8"/>
  <c r="E20" i="8" s="1"/>
  <c r="E12" i="9" s="1"/>
  <c r="I16" i="8"/>
  <c r="I18" i="8"/>
  <c r="E28" i="8"/>
  <c r="D30" i="8"/>
  <c r="D15" i="9" s="1"/>
  <c r="G89" i="8"/>
  <c r="E97" i="8"/>
  <c r="D98" i="8"/>
  <c r="T16" i="8"/>
  <c r="T17" i="8" s="1"/>
  <c r="X16" i="8"/>
  <c r="X17" i="8" s="1"/>
  <c r="C95" i="8"/>
  <c r="C99" i="8" s="1"/>
  <c r="D99" i="8" s="1"/>
  <c r="E99" i="8" s="1"/>
  <c r="F99" i="8" s="1"/>
  <c r="G99" i="8" s="1"/>
  <c r="H99" i="8" s="1"/>
  <c r="I99" i="8" s="1"/>
  <c r="J99" i="8" s="1"/>
  <c r="K99" i="8" s="1"/>
  <c r="L99" i="8" s="1"/>
  <c r="D94" i="8"/>
  <c r="D119" i="8"/>
  <c r="B16" i="8"/>
  <c r="H18" i="8"/>
  <c r="C77" i="8"/>
  <c r="F114" i="8"/>
  <c r="E119" i="8"/>
  <c r="D76" i="8"/>
  <c r="E47" i="8"/>
  <c r="Q51" i="8"/>
  <c r="H69" i="8"/>
  <c r="D71" i="8"/>
  <c r="D4" i="9" s="1"/>
  <c r="E70" i="8"/>
  <c r="K75" i="8"/>
  <c r="B84" i="8"/>
  <c r="E77" i="8"/>
  <c r="F84" i="8"/>
  <c r="G10" i="9" s="1"/>
  <c r="D88" i="8"/>
  <c r="D90" i="8" s="1"/>
  <c r="H88" i="8"/>
  <c r="L88" i="8"/>
  <c r="C98" i="8"/>
  <c r="E88" i="8"/>
  <c r="E90" i="8" s="1"/>
  <c r="I88" i="8"/>
  <c r="E38" i="8"/>
  <c r="H46" i="8"/>
  <c r="D84" i="8"/>
  <c r="E10" i="9" s="1"/>
  <c r="H84" i="8"/>
  <c r="I10" i="9" s="1"/>
  <c r="F88" i="8"/>
  <c r="F90" i="8" s="1"/>
  <c r="D68" i="6"/>
  <c r="AC77" i="6"/>
  <c r="AA77" i="6"/>
  <c r="Z77" i="6"/>
  <c r="J13" i="6"/>
  <c r="K13" i="6" s="1"/>
  <c r="L13" i="6" s="1"/>
  <c r="I13" i="6"/>
  <c r="G13" i="6"/>
  <c r="E97" i="6"/>
  <c r="D96" i="6"/>
  <c r="E87" i="6"/>
  <c r="N87" i="6"/>
  <c r="F84" i="6"/>
  <c r="G84" i="6" s="1"/>
  <c r="H84" i="6" s="1"/>
  <c r="I84" i="6" s="1"/>
  <c r="J84" i="6" s="1"/>
  <c r="E84" i="6"/>
  <c r="F81" i="6"/>
  <c r="G81" i="6" s="1"/>
  <c r="H81" i="6" s="1"/>
  <c r="I81" i="6" s="1"/>
  <c r="J81" i="6" s="1"/>
  <c r="K81" i="6" s="1"/>
  <c r="L81" i="6" s="1"/>
  <c r="E81" i="6"/>
  <c r="J25" i="5"/>
  <c r="K25" i="5"/>
  <c r="L25" i="5"/>
  <c r="M25" i="5" s="1"/>
  <c r="J29" i="5"/>
  <c r="K29" i="5"/>
  <c r="L29" i="5"/>
  <c r="J7" i="5"/>
  <c r="K7" i="5"/>
  <c r="L7" i="5"/>
  <c r="M7" i="5" s="1"/>
  <c r="J8" i="5"/>
  <c r="K8" i="5"/>
  <c r="L8" i="5"/>
  <c r="M8" i="5" s="1"/>
  <c r="J9" i="5"/>
  <c r="K9" i="5"/>
  <c r="L9" i="5"/>
  <c r="M9" i="5" s="1"/>
  <c r="J13" i="5"/>
  <c r="K13" i="5"/>
  <c r="L13" i="5"/>
  <c r="M13" i="5" s="1"/>
  <c r="M14" i="5"/>
  <c r="J16" i="5"/>
  <c r="K16" i="5"/>
  <c r="L16" i="5"/>
  <c r="M16" i="5" s="1"/>
  <c r="J17" i="5"/>
  <c r="K17" i="5"/>
  <c r="L17" i="5"/>
  <c r="M17" i="5" s="1"/>
  <c r="J19" i="5"/>
  <c r="K19" i="5"/>
  <c r="L19" i="5"/>
  <c r="M19" i="5" s="1"/>
  <c r="J20" i="5"/>
  <c r="K20" i="5"/>
  <c r="L20" i="5"/>
  <c r="M20" i="5" s="1"/>
  <c r="J21" i="5"/>
  <c r="K21" i="5"/>
  <c r="L21" i="5"/>
  <c r="M21" i="5" s="1"/>
  <c r="J22" i="5"/>
  <c r="K22" i="5"/>
  <c r="L22" i="5"/>
  <c r="M22" i="5" s="1"/>
  <c r="J117" i="6"/>
  <c r="K117" i="6"/>
  <c r="L117" i="6"/>
  <c r="J112" i="6"/>
  <c r="K112" i="6" s="1"/>
  <c r="J108" i="6"/>
  <c r="K108" i="6" s="1"/>
  <c r="L108" i="6" s="1"/>
  <c r="J103" i="6"/>
  <c r="K103" i="6"/>
  <c r="L103" i="6"/>
  <c r="J104" i="6"/>
  <c r="K104" i="6"/>
  <c r="L104" i="6"/>
  <c r="J105" i="6"/>
  <c r="K105" i="6"/>
  <c r="L105" i="6"/>
  <c r="I105" i="6"/>
  <c r="I104" i="6"/>
  <c r="I103" i="6"/>
  <c r="J92" i="6"/>
  <c r="K92" i="6" s="1"/>
  <c r="J93" i="6"/>
  <c r="J95" i="6"/>
  <c r="J96" i="6" s="1"/>
  <c r="K95" i="6"/>
  <c r="L95" i="6" s="1"/>
  <c r="L96" i="6" s="1"/>
  <c r="J97" i="6"/>
  <c r="K97" i="6" s="1"/>
  <c r="L97" i="6" s="1"/>
  <c r="J86" i="6"/>
  <c r="K86" i="6"/>
  <c r="L86" i="6"/>
  <c r="J83" i="6"/>
  <c r="K83" i="6"/>
  <c r="L83" i="6"/>
  <c r="J80" i="6"/>
  <c r="K80" i="6"/>
  <c r="L80" i="6"/>
  <c r="K77" i="6"/>
  <c r="K6" i="5" s="1"/>
  <c r="J72" i="6"/>
  <c r="K72" i="6"/>
  <c r="L72" i="6"/>
  <c r="J77" i="6"/>
  <c r="J6" i="5" s="1"/>
  <c r="L77" i="6"/>
  <c r="L6" i="5" s="1"/>
  <c r="M6" i="5" s="1"/>
  <c r="J67" i="6"/>
  <c r="K67" i="6" s="1"/>
  <c r="L67" i="6" s="1"/>
  <c r="D63" i="6"/>
  <c r="J58" i="6"/>
  <c r="K58" i="6"/>
  <c r="L58" i="6"/>
  <c r="J59" i="6"/>
  <c r="K59" i="6" s="1"/>
  <c r="L59" i="6" s="1"/>
  <c r="D59" i="6"/>
  <c r="I59" i="6"/>
  <c r="I58" i="6"/>
  <c r="J38" i="6"/>
  <c r="K38" i="6"/>
  <c r="L38" i="6"/>
  <c r="L43" i="2"/>
  <c r="D67" i="6"/>
  <c r="E67" i="6" s="1"/>
  <c r="F67" i="6" s="1"/>
  <c r="G67" i="6" s="1"/>
  <c r="H67" i="6" s="1"/>
  <c r="I67" i="6" s="1"/>
  <c r="B67" i="6"/>
  <c r="B4" i="5"/>
  <c r="E77" i="6"/>
  <c r="E6" i="5" s="1"/>
  <c r="F77" i="6"/>
  <c r="F6" i="5" s="1"/>
  <c r="G77" i="6"/>
  <c r="G6" i="5" s="1"/>
  <c r="H77" i="6"/>
  <c r="H6" i="5" s="1"/>
  <c r="I77" i="6"/>
  <c r="I6" i="5" s="1"/>
  <c r="D77" i="6"/>
  <c r="D6" i="5" s="1"/>
  <c r="H95" i="3"/>
  <c r="I95" i="3"/>
  <c r="J95" i="3"/>
  <c r="K95" i="3"/>
  <c r="L95" i="3"/>
  <c r="G95" i="3"/>
  <c r="E68" i="6" l="1"/>
  <c r="F68" i="6" s="1"/>
  <c r="G68" i="6" s="1"/>
  <c r="H68" i="6" s="1"/>
  <c r="I68" i="6" s="1"/>
  <c r="J68" i="6" s="1"/>
  <c r="K68" i="6" s="1"/>
  <c r="L68" i="6" s="1"/>
  <c r="L86" i="8"/>
  <c r="L87" i="8" s="1"/>
  <c r="K87" i="8"/>
  <c r="G87" i="8"/>
  <c r="I87" i="8"/>
  <c r="J87" i="8"/>
  <c r="H87" i="8"/>
  <c r="F87" i="8"/>
  <c r="J84" i="8"/>
  <c r="K10" i="9" s="1"/>
  <c r="I84" i="8"/>
  <c r="J10" i="9" s="1"/>
  <c r="E87" i="8"/>
  <c r="D87" i="8"/>
  <c r="C26" i="9"/>
  <c r="C27" i="9" s="1"/>
  <c r="C31" i="9" s="1"/>
  <c r="E48" i="8"/>
  <c r="D18" i="9" s="1"/>
  <c r="D77" i="8"/>
  <c r="F28" i="8"/>
  <c r="E30" i="8"/>
  <c r="E15" i="9" s="1"/>
  <c r="D35" i="8"/>
  <c r="D14" i="9" s="1"/>
  <c r="E33" i="8"/>
  <c r="L75" i="8"/>
  <c r="I69" i="8"/>
  <c r="H89" i="8"/>
  <c r="G90" i="8"/>
  <c r="D18" i="8"/>
  <c r="C24" i="8"/>
  <c r="D25" i="8"/>
  <c r="E41" i="8"/>
  <c r="F38" i="8"/>
  <c r="G114" i="8"/>
  <c r="F119" i="8"/>
  <c r="F61" i="8"/>
  <c r="E60" i="8"/>
  <c r="G18" i="8"/>
  <c r="L14" i="8"/>
  <c r="L15" i="8" s="1"/>
  <c r="K15" i="8"/>
  <c r="I46" i="8"/>
  <c r="F70" i="8"/>
  <c r="E71" i="8"/>
  <c r="E4" i="9" s="1"/>
  <c r="K52" i="8"/>
  <c r="J52" i="8"/>
  <c r="M52" i="8"/>
  <c r="I52" i="8"/>
  <c r="I53" i="8" s="1"/>
  <c r="L52" i="8"/>
  <c r="E94" i="8"/>
  <c r="D95" i="8"/>
  <c r="E98" i="8"/>
  <c r="F97" i="8"/>
  <c r="F76" i="8"/>
  <c r="F77" i="8" s="1"/>
  <c r="F5" i="9" s="1"/>
  <c r="G5" i="8"/>
  <c r="H47" i="8" s="1"/>
  <c r="H48" i="8" s="1"/>
  <c r="G18" i="9" s="1"/>
  <c r="L83" i="8"/>
  <c r="L84" i="8" s="1"/>
  <c r="K84" i="8"/>
  <c r="L10" i="9" s="1"/>
  <c r="M10" i="9" s="1"/>
  <c r="J16" i="8"/>
  <c r="J20" i="8" s="1"/>
  <c r="J12" i="9" s="1"/>
  <c r="J18" i="8"/>
  <c r="K84" i="6"/>
  <c r="J85" i="6"/>
  <c r="J11" i="5" s="1"/>
  <c r="L112" i="6"/>
  <c r="K93" i="6"/>
  <c r="L92" i="6"/>
  <c r="L93" i="6" s="1"/>
  <c r="K96" i="6"/>
  <c r="G44" i="6"/>
  <c r="H50" i="6"/>
  <c r="D50" i="6"/>
  <c r="E50" i="6"/>
  <c r="F50" i="6"/>
  <c r="Q49" i="6" s="1"/>
  <c r="G50" i="6"/>
  <c r="C50" i="6"/>
  <c r="D53" i="6"/>
  <c r="E53" i="6"/>
  <c r="F53" i="6"/>
  <c r="G53" i="6"/>
  <c r="H53" i="6"/>
  <c r="C53" i="6"/>
  <c r="D26" i="9" l="1"/>
  <c r="F94" i="8"/>
  <c r="E95" i="8"/>
  <c r="J69" i="8"/>
  <c r="E35" i="8"/>
  <c r="E14" i="9" s="1"/>
  <c r="F33" i="8"/>
  <c r="G97" i="8"/>
  <c r="F98" i="8"/>
  <c r="F41" i="8"/>
  <c r="G38" i="8"/>
  <c r="G119" i="8"/>
  <c r="H114" i="8"/>
  <c r="J53" i="8"/>
  <c r="I55" i="8"/>
  <c r="I45" i="8" s="1"/>
  <c r="K16" i="8"/>
  <c r="K20" i="8" s="1"/>
  <c r="K12" i="9" s="1"/>
  <c r="K18" i="8"/>
  <c r="G61" i="8"/>
  <c r="F60" i="8"/>
  <c r="H5" i="8"/>
  <c r="I47" i="8" s="1"/>
  <c r="G76" i="8"/>
  <c r="G77" i="8" s="1"/>
  <c r="G5" i="9" s="1"/>
  <c r="G70" i="8"/>
  <c r="F71" i="8"/>
  <c r="F4" i="9" s="1"/>
  <c r="J46" i="8"/>
  <c r="L18" i="8"/>
  <c r="L16" i="8"/>
  <c r="L20" i="8" s="1"/>
  <c r="L12" i="9" s="1"/>
  <c r="M12" i="9" s="1"/>
  <c r="E25" i="8"/>
  <c r="D24" i="8"/>
  <c r="D23" i="8" s="1"/>
  <c r="D13" i="9" s="1"/>
  <c r="H90" i="8"/>
  <c r="I89" i="8"/>
  <c r="F30" i="8"/>
  <c r="F15" i="9" s="1"/>
  <c r="G28" i="8"/>
  <c r="L84" i="6"/>
  <c r="L85" i="6" s="1"/>
  <c r="L11" i="5" s="1"/>
  <c r="M11" i="5" s="1"/>
  <c r="K85" i="6"/>
  <c r="K11" i="5" s="1"/>
  <c r="R49" i="6"/>
  <c r="M50" i="6"/>
  <c r="K50" i="6"/>
  <c r="L50" i="6"/>
  <c r="J50" i="6"/>
  <c r="J51" i="6" s="1"/>
  <c r="I50" i="6"/>
  <c r="I51" i="6" s="1"/>
  <c r="H44" i="6"/>
  <c r="G45" i="6"/>
  <c r="I53" i="6"/>
  <c r="E5" i="6"/>
  <c r="D5" i="6"/>
  <c r="D3" i="6"/>
  <c r="E3" i="6"/>
  <c r="F25" i="1"/>
  <c r="F22" i="1"/>
  <c r="C25" i="5"/>
  <c r="C29" i="5"/>
  <c r="D29" i="5"/>
  <c r="E29" i="5"/>
  <c r="F29" i="5"/>
  <c r="G29" i="5"/>
  <c r="H29" i="5"/>
  <c r="B111" i="3"/>
  <c r="C111" i="3"/>
  <c r="D111" i="3"/>
  <c r="B28" i="5" s="1"/>
  <c r="E111" i="3"/>
  <c r="C28" i="5" s="1"/>
  <c r="D28" i="5" s="1"/>
  <c r="G73" i="6"/>
  <c r="G74" i="6" s="1"/>
  <c r="F74" i="6"/>
  <c r="E116" i="6"/>
  <c r="F116" i="6"/>
  <c r="G116" i="6"/>
  <c r="H116" i="6"/>
  <c r="I116" i="6"/>
  <c r="B116" i="6"/>
  <c r="B117" i="6" s="1"/>
  <c r="B25" i="5" s="1"/>
  <c r="C116" i="6"/>
  <c r="C117" i="6" s="1"/>
  <c r="D116" i="6"/>
  <c r="D112" i="6"/>
  <c r="E112" i="6" s="1"/>
  <c r="F112" i="6" s="1"/>
  <c r="C17" i="5"/>
  <c r="I48" i="8" l="1"/>
  <c r="H18" i="9" s="1"/>
  <c r="E28" i="5"/>
  <c r="I114" i="8"/>
  <c r="H119" i="8"/>
  <c r="F25" i="8"/>
  <c r="E24" i="8"/>
  <c r="E23" i="8" s="1"/>
  <c r="E13" i="9" s="1"/>
  <c r="I5" i="8"/>
  <c r="J47" i="8" s="1"/>
  <c r="H76" i="8"/>
  <c r="H77" i="8" s="1"/>
  <c r="H5" i="9" s="1"/>
  <c r="H97" i="8"/>
  <c r="G98" i="8"/>
  <c r="K69" i="8"/>
  <c r="J89" i="8"/>
  <c r="I90" i="8"/>
  <c r="G41" i="8"/>
  <c r="H38" i="8"/>
  <c r="F35" i="8"/>
  <c r="F14" i="9" s="1"/>
  <c r="G33" i="8"/>
  <c r="K46" i="8"/>
  <c r="G30" i="8"/>
  <c r="G15" i="9" s="1"/>
  <c r="H28" i="8"/>
  <c r="H70" i="8"/>
  <c r="G71" i="8"/>
  <c r="G4" i="9" s="1"/>
  <c r="H61" i="8"/>
  <c r="G60" i="8"/>
  <c r="J55" i="8"/>
  <c r="J45" i="8" s="1"/>
  <c r="K53" i="8"/>
  <c r="F95" i="8"/>
  <c r="G94" i="8"/>
  <c r="J53" i="6"/>
  <c r="K51" i="6"/>
  <c r="E74" i="6"/>
  <c r="I44" i="6"/>
  <c r="H45" i="6"/>
  <c r="D74" i="6"/>
  <c r="H73" i="6"/>
  <c r="G112" i="6"/>
  <c r="H112" i="6" s="1"/>
  <c r="F117" i="6"/>
  <c r="F25" i="5" s="1"/>
  <c r="E117" i="6"/>
  <c r="E25" i="5" s="1"/>
  <c r="D117" i="6"/>
  <c r="D25" i="5" s="1"/>
  <c r="G117" i="6"/>
  <c r="G25" i="5" s="1"/>
  <c r="J43" i="6"/>
  <c r="C22" i="5"/>
  <c r="B22" i="5"/>
  <c r="D108" i="6"/>
  <c r="E108" i="6" s="1"/>
  <c r="L103" i="3"/>
  <c r="C20" i="5"/>
  <c r="D20" i="5"/>
  <c r="E20" i="5"/>
  <c r="F20" i="5"/>
  <c r="G20" i="5"/>
  <c r="H20" i="5"/>
  <c r="I20" i="5"/>
  <c r="B20" i="5"/>
  <c r="E104" i="6"/>
  <c r="F104" i="6"/>
  <c r="G104" i="6"/>
  <c r="H104" i="6"/>
  <c r="E105" i="6"/>
  <c r="E21" i="5" s="1"/>
  <c r="F105" i="6"/>
  <c r="F21" i="5" s="1"/>
  <c r="G105" i="6"/>
  <c r="G21" i="5" s="1"/>
  <c r="H105" i="6"/>
  <c r="H21" i="5" s="1"/>
  <c r="I21" i="5"/>
  <c r="I19" i="5"/>
  <c r="E103" i="6"/>
  <c r="E19" i="5" s="1"/>
  <c r="F103" i="6"/>
  <c r="F19" i="5" s="1"/>
  <c r="G103" i="6"/>
  <c r="G19" i="5" s="1"/>
  <c r="H103" i="6"/>
  <c r="H19" i="5" s="1"/>
  <c r="D104" i="6"/>
  <c r="D105" i="6"/>
  <c r="D21" i="5" s="1"/>
  <c r="C104" i="6"/>
  <c r="C105" i="6"/>
  <c r="C21" i="5" s="1"/>
  <c r="C103" i="6"/>
  <c r="C19" i="5" s="1"/>
  <c r="B104" i="6"/>
  <c r="B105" i="6"/>
  <c r="B21" i="5" s="1"/>
  <c r="B103" i="6"/>
  <c r="B19" i="5" s="1"/>
  <c r="D103" i="6"/>
  <c r="D19" i="5" s="1"/>
  <c r="B96" i="6"/>
  <c r="B8" i="5" s="1"/>
  <c r="C95" i="6"/>
  <c r="C96" i="6" s="1"/>
  <c r="C8" i="5" s="1"/>
  <c r="C92" i="6"/>
  <c r="C93" i="6" s="1"/>
  <c r="P95" i="6"/>
  <c r="B93" i="6"/>
  <c r="B7" i="5" s="1"/>
  <c r="C87" i="6"/>
  <c r="B87" i="6"/>
  <c r="B86" i="6"/>
  <c r="D86" i="6" s="1"/>
  <c r="B84" i="6"/>
  <c r="D84" i="6" s="1"/>
  <c r="H32" i="3"/>
  <c r="C83" i="6"/>
  <c r="B81" i="6"/>
  <c r="C81" i="6" s="1"/>
  <c r="D81" i="6" s="1"/>
  <c r="C80" i="6"/>
  <c r="C36" i="6"/>
  <c r="D36" i="6" s="1"/>
  <c r="E36" i="6" s="1"/>
  <c r="F36" i="6" s="1"/>
  <c r="G36" i="6" s="1"/>
  <c r="H36" i="6" s="1"/>
  <c r="I36" i="6" s="1"/>
  <c r="J36" i="6" s="1"/>
  <c r="D99" i="3"/>
  <c r="E99" i="3"/>
  <c r="F99" i="3"/>
  <c r="G99" i="3"/>
  <c r="H99" i="3"/>
  <c r="I99" i="3"/>
  <c r="K99" i="3"/>
  <c r="C99" i="3"/>
  <c r="J98" i="3"/>
  <c r="J99" i="3" s="1"/>
  <c r="L98" i="3"/>
  <c r="L99" i="3" s="1"/>
  <c r="B74" i="6" s="1"/>
  <c r="M98" i="3"/>
  <c r="E91" i="3"/>
  <c r="F91" i="3"/>
  <c r="G91" i="3"/>
  <c r="H91" i="3"/>
  <c r="I91" i="3"/>
  <c r="J91" i="3"/>
  <c r="K91" i="3"/>
  <c r="M90" i="3"/>
  <c r="M91" i="3" s="1"/>
  <c r="C68" i="6" s="1"/>
  <c r="L90" i="3"/>
  <c r="L91" i="3" s="1"/>
  <c r="B68" i="6" s="1"/>
  <c r="D91" i="3"/>
  <c r="C91" i="3"/>
  <c r="B91" i="3"/>
  <c r="C67" i="6"/>
  <c r="J48" i="8" l="1"/>
  <c r="I18" i="9" s="1"/>
  <c r="F28" i="5"/>
  <c r="I28" i="8"/>
  <c r="H30" i="8"/>
  <c r="H15" i="9" s="1"/>
  <c r="I61" i="8"/>
  <c r="H60" i="8"/>
  <c r="K89" i="8"/>
  <c r="J90" i="8"/>
  <c r="I97" i="8"/>
  <c r="H98" i="8"/>
  <c r="G25" i="8"/>
  <c r="F24" i="8"/>
  <c r="F23" i="8" s="1"/>
  <c r="F13" i="9" s="1"/>
  <c r="K55" i="8"/>
  <c r="K45" i="8" s="1"/>
  <c r="L53" i="8"/>
  <c r="L46" i="8"/>
  <c r="H41" i="8"/>
  <c r="I38" i="8"/>
  <c r="L69" i="8"/>
  <c r="G95" i="8"/>
  <c r="H94" i="8"/>
  <c r="G35" i="8"/>
  <c r="G14" i="9" s="1"/>
  <c r="H33" i="8"/>
  <c r="I70" i="8"/>
  <c r="H71" i="8"/>
  <c r="H4" i="9" s="1"/>
  <c r="J5" i="8"/>
  <c r="I76" i="8"/>
  <c r="I77" i="8" s="1"/>
  <c r="I5" i="9" s="1"/>
  <c r="J114" i="8"/>
  <c r="I119" i="8"/>
  <c r="I115" i="8"/>
  <c r="J82" i="6"/>
  <c r="J10" i="5" s="1"/>
  <c r="L51" i="6"/>
  <c r="K53" i="6"/>
  <c r="K43" i="6" s="1"/>
  <c r="K36" i="6"/>
  <c r="J39" i="6"/>
  <c r="J44" i="6"/>
  <c r="I45" i="6"/>
  <c r="I73" i="6"/>
  <c r="H74" i="6"/>
  <c r="I112" i="6"/>
  <c r="H117" i="6"/>
  <c r="H25" i="5" s="1"/>
  <c r="I43" i="6"/>
  <c r="H43" i="6"/>
  <c r="H46" i="6" s="1"/>
  <c r="G18" i="5" s="1"/>
  <c r="G43" i="6"/>
  <c r="G46" i="6" s="1"/>
  <c r="F18" i="5" s="1"/>
  <c r="F46" i="6"/>
  <c r="E18" i="5" s="1"/>
  <c r="E22" i="5"/>
  <c r="F108" i="6"/>
  <c r="G108" i="6" s="1"/>
  <c r="H108" i="6" s="1"/>
  <c r="I108" i="6" s="1"/>
  <c r="I22" i="5" s="1"/>
  <c r="D22" i="5"/>
  <c r="C97" i="6"/>
  <c r="C7" i="5"/>
  <c r="D92" i="6"/>
  <c r="D95" i="6"/>
  <c r="B97" i="6"/>
  <c r="B9" i="5" s="1"/>
  <c r="B88" i="6"/>
  <c r="B69" i="6"/>
  <c r="C69" i="6"/>
  <c r="G86" i="6"/>
  <c r="C86" i="6"/>
  <c r="C88" i="6" s="1"/>
  <c r="F86" i="6"/>
  <c r="I86" i="6"/>
  <c r="E86" i="6"/>
  <c r="F87" i="6"/>
  <c r="G87" i="6" s="1"/>
  <c r="H87" i="6" s="1"/>
  <c r="I87" i="6" s="1"/>
  <c r="J87" i="6" s="1"/>
  <c r="K87" i="6" s="1"/>
  <c r="L87" i="6" s="1"/>
  <c r="C84" i="6"/>
  <c r="C85" i="6" s="1"/>
  <c r="C11" i="5" s="1"/>
  <c r="H86" i="6"/>
  <c r="C82" i="6"/>
  <c r="B75" i="6"/>
  <c r="D69" i="6"/>
  <c r="D4" i="5" s="1"/>
  <c r="G28" i="5" l="1"/>
  <c r="I41" i="8"/>
  <c r="J38" i="8"/>
  <c r="K114" i="8"/>
  <c r="J119" i="8"/>
  <c r="J70" i="8"/>
  <c r="I71" i="8"/>
  <c r="I4" i="9" s="1"/>
  <c r="I98" i="8"/>
  <c r="J97" i="8"/>
  <c r="J61" i="8"/>
  <c r="I60" i="8"/>
  <c r="M53" i="8"/>
  <c r="M55" i="8" s="1"/>
  <c r="M45" i="8" s="1"/>
  <c r="L55" i="8"/>
  <c r="L45" i="8" s="1"/>
  <c r="H35" i="8"/>
  <c r="H14" i="9" s="1"/>
  <c r="I33" i="8"/>
  <c r="M46" i="8"/>
  <c r="I94" i="8"/>
  <c r="H95" i="8"/>
  <c r="K5" i="8"/>
  <c r="L47" i="8" s="1"/>
  <c r="J76" i="8"/>
  <c r="J77" i="8" s="1"/>
  <c r="J5" i="9" s="1"/>
  <c r="K47" i="8"/>
  <c r="K48" i="8" s="1"/>
  <c r="J18" i="9" s="1"/>
  <c r="H25" i="8"/>
  <c r="G24" i="8"/>
  <c r="G23" i="8" s="1"/>
  <c r="G13" i="9" s="1"/>
  <c r="L89" i="8"/>
  <c r="L90" i="8" s="1"/>
  <c r="K90" i="8"/>
  <c r="I30" i="8"/>
  <c r="I15" i="9" s="1"/>
  <c r="J28" i="8"/>
  <c r="I69" i="6"/>
  <c r="I4" i="5" s="1"/>
  <c r="L82" i="6"/>
  <c r="L10" i="5" s="1"/>
  <c r="M10" i="5" s="1"/>
  <c r="K82" i="6"/>
  <c r="K10" i="5" s="1"/>
  <c r="I74" i="6"/>
  <c r="J73" i="6"/>
  <c r="L36" i="6"/>
  <c r="L39" i="6" s="1"/>
  <c r="K39" i="6"/>
  <c r="F22" i="5"/>
  <c r="K44" i="6"/>
  <c r="J45" i="6"/>
  <c r="J46" i="6" s="1"/>
  <c r="I18" i="5" s="1"/>
  <c r="M51" i="6"/>
  <c r="M53" i="6" s="1"/>
  <c r="M43" i="6" s="1"/>
  <c r="L53" i="6"/>
  <c r="L43" i="6" s="1"/>
  <c r="H72" i="6"/>
  <c r="E72" i="6"/>
  <c r="I72" i="6"/>
  <c r="F72" i="6"/>
  <c r="D72" i="6"/>
  <c r="G72" i="6"/>
  <c r="G75" i="6" s="1"/>
  <c r="I46" i="6"/>
  <c r="H18" i="5" s="1"/>
  <c r="I113" i="6"/>
  <c r="I29" i="5" s="1"/>
  <c r="I117" i="6"/>
  <c r="I25" i="5" s="1"/>
  <c r="H22" i="5"/>
  <c r="G22" i="5"/>
  <c r="E92" i="6"/>
  <c r="D93" i="6"/>
  <c r="D7" i="5" s="1"/>
  <c r="E95" i="6"/>
  <c r="D8" i="5"/>
  <c r="C9" i="5"/>
  <c r="D97" i="6"/>
  <c r="D88" i="6"/>
  <c r="F69" i="6"/>
  <c r="F4" i="5" s="1"/>
  <c r="H69" i="6"/>
  <c r="H4" i="5" s="1"/>
  <c r="G69" i="6"/>
  <c r="G4" i="5" s="1"/>
  <c r="E69" i="6"/>
  <c r="E4" i="5" s="1"/>
  <c r="E63" i="6"/>
  <c r="F63" i="6" s="1"/>
  <c r="G63" i="6" s="1"/>
  <c r="H63" i="6" s="1"/>
  <c r="I63" i="6" s="1"/>
  <c r="J63" i="6" s="1"/>
  <c r="K63" i="6" s="1"/>
  <c r="L63" i="6" s="1"/>
  <c r="D38" i="6"/>
  <c r="D39" i="6" s="1"/>
  <c r="D16" i="5" s="1"/>
  <c r="E38" i="6"/>
  <c r="F38" i="6"/>
  <c r="G38" i="6"/>
  <c r="H38" i="6"/>
  <c r="I38" i="6"/>
  <c r="C26" i="6"/>
  <c r="D26" i="6" s="1"/>
  <c r="B16" i="6"/>
  <c r="Q15" i="6"/>
  <c r="B14" i="6" s="1"/>
  <c r="R15" i="6"/>
  <c r="S15" i="6"/>
  <c r="T15" i="6"/>
  <c r="U15" i="6"/>
  <c r="V15" i="6"/>
  <c r="W15" i="6"/>
  <c r="X15" i="6"/>
  <c r="H28" i="5" l="1"/>
  <c r="J94" i="8"/>
  <c r="I95" i="8"/>
  <c r="I35" i="8"/>
  <c r="I14" i="9" s="1"/>
  <c r="J33" i="8"/>
  <c r="K119" i="8"/>
  <c r="L114" i="8"/>
  <c r="L119" i="8" s="1"/>
  <c r="I25" i="8"/>
  <c r="H24" i="8"/>
  <c r="H23" i="8" s="1"/>
  <c r="H13" i="9" s="1"/>
  <c r="K61" i="8"/>
  <c r="J60" i="8"/>
  <c r="J41" i="8"/>
  <c r="K38" i="8"/>
  <c r="J30" i="8"/>
  <c r="J15" i="9" s="1"/>
  <c r="K28" i="8"/>
  <c r="L5" i="8"/>
  <c r="L76" i="8" s="1"/>
  <c r="L77" i="8" s="1"/>
  <c r="L5" i="9" s="1"/>
  <c r="K76" i="8"/>
  <c r="K77" i="8" s="1"/>
  <c r="K5" i="9" s="1"/>
  <c r="L48" i="8"/>
  <c r="K18" i="9" s="1"/>
  <c r="K97" i="8"/>
  <c r="J98" i="8"/>
  <c r="K70" i="8"/>
  <c r="J71" i="8"/>
  <c r="J4" i="9" s="1"/>
  <c r="J69" i="6"/>
  <c r="J4" i="5" s="1"/>
  <c r="K73" i="6"/>
  <c r="J74" i="6"/>
  <c r="J75" i="6" s="1"/>
  <c r="H13" i="6"/>
  <c r="H14" i="6" s="1"/>
  <c r="W16" i="6"/>
  <c r="W17" i="6" s="1"/>
  <c r="X16" i="6"/>
  <c r="X17" i="6" s="1"/>
  <c r="E13" i="6"/>
  <c r="T16" i="6"/>
  <c r="T17" i="6" s="1"/>
  <c r="D13" i="6"/>
  <c r="D14" i="6" s="1"/>
  <c r="S16" i="6"/>
  <c r="G14" i="6"/>
  <c r="V16" i="6"/>
  <c r="V17" i="6" s="1"/>
  <c r="C13" i="6"/>
  <c r="C14" i="6" s="1"/>
  <c r="R16" i="6"/>
  <c r="F13" i="6"/>
  <c r="F14" i="6" s="1"/>
  <c r="U16" i="6"/>
  <c r="U17" i="6" s="1"/>
  <c r="L44" i="6"/>
  <c r="K45" i="6"/>
  <c r="K46" i="6" s="1"/>
  <c r="J18" i="5" s="1"/>
  <c r="J16" i="6"/>
  <c r="G16" i="6"/>
  <c r="K16" i="6"/>
  <c r="H16" i="6"/>
  <c r="L16" i="6"/>
  <c r="E16" i="6"/>
  <c r="I16" i="6"/>
  <c r="F16" i="6"/>
  <c r="F17" i="6" s="1"/>
  <c r="F12" i="5" s="1"/>
  <c r="D16" i="6"/>
  <c r="E14" i="6"/>
  <c r="E26" i="6"/>
  <c r="D28" i="6"/>
  <c r="D15" i="5" s="1"/>
  <c r="E96" i="6"/>
  <c r="E8" i="5" s="1"/>
  <c r="F95" i="6"/>
  <c r="D9" i="5"/>
  <c r="F92" i="6"/>
  <c r="E93" i="6"/>
  <c r="E7" i="5" s="1"/>
  <c r="E88" i="6"/>
  <c r="B17" i="6"/>
  <c r="B12" i="5" s="1"/>
  <c r="E39" i="6"/>
  <c r="E16" i="5" s="1"/>
  <c r="B63" i="6"/>
  <c r="C57" i="6"/>
  <c r="C59" i="6" s="1"/>
  <c r="D58" i="6" s="1"/>
  <c r="B57" i="6"/>
  <c r="B37" i="6"/>
  <c r="B24" i="3"/>
  <c r="J23" i="3"/>
  <c r="F22" i="3" s="1"/>
  <c r="R31" i="6"/>
  <c r="B31" i="6" s="1"/>
  <c r="B28" i="6"/>
  <c r="B15" i="5" s="1"/>
  <c r="H17" i="6" l="1"/>
  <c r="H12" i="5" s="1"/>
  <c r="G17" i="6"/>
  <c r="G12" i="5" s="1"/>
  <c r="I28" i="5"/>
  <c r="J28" i="5" s="1"/>
  <c r="K28" i="5" s="1"/>
  <c r="J5" i="5"/>
  <c r="K30" i="8"/>
  <c r="K15" i="9" s="1"/>
  <c r="L28" i="8"/>
  <c r="L30" i="8" s="1"/>
  <c r="L15" i="9" s="1"/>
  <c r="M15" i="9" s="1"/>
  <c r="L70" i="8"/>
  <c r="L71" i="8" s="1"/>
  <c r="L4" i="9" s="1"/>
  <c r="M4" i="9" s="1"/>
  <c r="K71" i="8"/>
  <c r="K4" i="9" s="1"/>
  <c r="M47" i="8"/>
  <c r="M48" i="8" s="1"/>
  <c r="L18" i="9" s="1"/>
  <c r="M18" i="9" s="1"/>
  <c r="K60" i="8"/>
  <c r="L61" i="8"/>
  <c r="L60" i="8" s="1"/>
  <c r="J95" i="8"/>
  <c r="K94" i="8"/>
  <c r="L97" i="8"/>
  <c r="L98" i="8" s="1"/>
  <c r="K98" i="8"/>
  <c r="J25" i="8"/>
  <c r="I24" i="8"/>
  <c r="I23" i="8" s="1"/>
  <c r="I13" i="9" s="1"/>
  <c r="K41" i="8"/>
  <c r="L38" i="8"/>
  <c r="L41" i="8" s="1"/>
  <c r="K33" i="8"/>
  <c r="J35" i="8"/>
  <c r="J14" i="9" s="1"/>
  <c r="L69" i="6"/>
  <c r="L4" i="5" s="1"/>
  <c r="M4" i="5" s="1"/>
  <c r="K69" i="6"/>
  <c r="K4" i="5" s="1"/>
  <c r="L73" i="6"/>
  <c r="L74" i="6" s="1"/>
  <c r="L75" i="6" s="1"/>
  <c r="K74" i="6"/>
  <c r="K75" i="6" s="1"/>
  <c r="D17" i="6"/>
  <c r="D12" i="5" s="1"/>
  <c r="Q18" i="6"/>
  <c r="E17" i="6"/>
  <c r="E12" i="5" s="1"/>
  <c r="M44" i="6"/>
  <c r="L45" i="6"/>
  <c r="L46" i="6" s="1"/>
  <c r="K18" i="5" s="1"/>
  <c r="I14" i="6"/>
  <c r="I17" i="6" s="1"/>
  <c r="I12" i="5" s="1"/>
  <c r="F96" i="6"/>
  <c r="F8" i="5" s="1"/>
  <c r="G95" i="6"/>
  <c r="F93" i="6"/>
  <c r="F7" i="5" s="1"/>
  <c r="G92" i="6"/>
  <c r="C31" i="6"/>
  <c r="D31" i="6" s="1"/>
  <c r="B14" i="5"/>
  <c r="B33" i="6"/>
  <c r="F97" i="6"/>
  <c r="E9" i="5"/>
  <c r="F26" i="6"/>
  <c r="E28" i="6"/>
  <c r="E15" i="5" s="1"/>
  <c r="F88" i="6"/>
  <c r="B38" i="6"/>
  <c r="B39" i="6" s="1"/>
  <c r="D17" i="5"/>
  <c r="E59" i="6"/>
  <c r="M45" i="6" l="1"/>
  <c r="M46" i="6" s="1"/>
  <c r="L18" i="5" s="1"/>
  <c r="M18" i="5" s="1"/>
  <c r="K5" i="5"/>
  <c r="L5" i="5"/>
  <c r="M5" i="5" s="1"/>
  <c r="M5" i="9"/>
  <c r="K35" i="8"/>
  <c r="K14" i="9" s="1"/>
  <c r="L33" i="8"/>
  <c r="L35" i="8" s="1"/>
  <c r="L14" i="9" s="1"/>
  <c r="M14" i="9" s="1"/>
  <c r="K25" i="8"/>
  <c r="J24" i="8"/>
  <c r="J23" i="8" s="1"/>
  <c r="J13" i="9" s="1"/>
  <c r="K95" i="8"/>
  <c r="L94" i="8"/>
  <c r="L95" i="8" s="1"/>
  <c r="J14" i="6"/>
  <c r="J17" i="6" s="1"/>
  <c r="J12" i="5" s="1"/>
  <c r="G97" i="6"/>
  <c r="F9" i="5"/>
  <c r="H92" i="6"/>
  <c r="G93" i="6"/>
  <c r="G7" i="5" s="1"/>
  <c r="G26" i="6"/>
  <c r="F28" i="6"/>
  <c r="F15" i="5" s="1"/>
  <c r="H95" i="6"/>
  <c r="G96" i="6"/>
  <c r="G8" i="5" s="1"/>
  <c r="D33" i="6"/>
  <c r="E31" i="6"/>
  <c r="F31" i="6" s="1"/>
  <c r="G88" i="6"/>
  <c r="B20" i="6"/>
  <c r="B21" i="6" s="1"/>
  <c r="B22" i="6" s="1"/>
  <c r="B23" i="6" s="1"/>
  <c r="C23" i="6" s="1"/>
  <c r="B16" i="5"/>
  <c r="F39" i="6"/>
  <c r="F16" i="5" s="1"/>
  <c r="E58" i="6"/>
  <c r="E17" i="5" s="1"/>
  <c r="F59" i="6"/>
  <c r="C47" i="6"/>
  <c r="D47" i="6"/>
  <c r="C49" i="6"/>
  <c r="D46" i="6"/>
  <c r="C18" i="5" s="1"/>
  <c r="C46" i="6"/>
  <c r="B18" i="5" s="1"/>
  <c r="N22" i="3"/>
  <c r="M22" i="3"/>
  <c r="D46" i="3"/>
  <c r="D45" i="3"/>
  <c r="D44" i="3"/>
  <c r="D47" i="3" s="1"/>
  <c r="C5" i="5"/>
  <c r="C4" i="5"/>
  <c r="B7" i="3"/>
  <c r="B6" i="3"/>
  <c r="F6" i="3" s="1"/>
  <c r="G6" i="3" s="1"/>
  <c r="G70" i="3"/>
  <c r="G82" i="3"/>
  <c r="G83" i="3"/>
  <c r="G81" i="3"/>
  <c r="A18" i="5"/>
  <c r="D13" i="1"/>
  <c r="B26" i="5"/>
  <c r="A22" i="5"/>
  <c r="A20" i="5"/>
  <c r="A21" i="5"/>
  <c r="A19" i="5"/>
  <c r="B5" i="5"/>
  <c r="H16" i="3"/>
  <c r="K24" i="8" l="1"/>
  <c r="K23" i="8" s="1"/>
  <c r="K13" i="9" s="1"/>
  <c r="L25" i="8"/>
  <c r="L24" i="8" s="1"/>
  <c r="L23" i="8" s="1"/>
  <c r="L13" i="9" s="1"/>
  <c r="M13" i="9" s="1"/>
  <c r="K14" i="6"/>
  <c r="K17" i="6" s="1"/>
  <c r="K12" i="5" s="1"/>
  <c r="L14" i="6"/>
  <c r="L17" i="6" s="1"/>
  <c r="L12" i="5" s="1"/>
  <c r="M12" i="5" s="1"/>
  <c r="D23" i="6"/>
  <c r="D22" i="6" s="1"/>
  <c r="C22" i="6"/>
  <c r="E33" i="6"/>
  <c r="I95" i="6"/>
  <c r="I96" i="6" s="1"/>
  <c r="I8" i="5" s="1"/>
  <c r="H96" i="6"/>
  <c r="H8" i="5" s="1"/>
  <c r="I92" i="6"/>
  <c r="I93" i="6" s="1"/>
  <c r="I7" i="5" s="1"/>
  <c r="H93" i="6"/>
  <c r="H7" i="5" s="1"/>
  <c r="D49" i="6"/>
  <c r="H26" i="6"/>
  <c r="G28" i="6"/>
  <c r="G15" i="5" s="1"/>
  <c r="H97" i="6"/>
  <c r="G9" i="5"/>
  <c r="C10" i="5"/>
  <c r="G85" i="3"/>
  <c r="H88" i="6"/>
  <c r="F7" i="3"/>
  <c r="G7" i="3" s="1"/>
  <c r="M96" i="3"/>
  <c r="B13" i="5"/>
  <c r="G39" i="6"/>
  <c r="G16" i="5" s="1"/>
  <c r="F58" i="6"/>
  <c r="F17" i="5" s="1"/>
  <c r="G59" i="6"/>
  <c r="D41" i="3"/>
  <c r="B38" i="3"/>
  <c r="D38" i="3" s="1"/>
  <c r="B37" i="3"/>
  <c r="G32" i="3" s="1"/>
  <c r="K32" i="3" s="1"/>
  <c r="B36" i="3"/>
  <c r="B80" i="6" s="1"/>
  <c r="B82" i="3"/>
  <c r="D82" i="3" s="1"/>
  <c r="B83" i="3"/>
  <c r="D83" i="3" s="1"/>
  <c r="B81" i="3"/>
  <c r="D81" i="3" s="1"/>
  <c r="D70" i="3"/>
  <c r="H64" i="3"/>
  <c r="B64" i="3"/>
  <c r="I88" i="6" l="1"/>
  <c r="E46" i="6"/>
  <c r="D18" i="5" s="1"/>
  <c r="I97" i="6"/>
  <c r="I9" i="5" s="1"/>
  <c r="H9" i="5"/>
  <c r="I26" i="6"/>
  <c r="H28" i="6"/>
  <c r="H15" i="5" s="1"/>
  <c r="G31" i="6"/>
  <c r="F33" i="6"/>
  <c r="D68" i="3"/>
  <c r="B68" i="3" s="1"/>
  <c r="B69" i="3" s="1"/>
  <c r="D69" i="3" s="1"/>
  <c r="E83" i="6"/>
  <c r="I83" i="6"/>
  <c r="F83" i="6"/>
  <c r="D83" i="6"/>
  <c r="G83" i="6"/>
  <c r="H83" i="6"/>
  <c r="B82" i="6"/>
  <c r="H80" i="6"/>
  <c r="H82" i="6" s="1"/>
  <c r="H10" i="5" s="1"/>
  <c r="E80" i="6"/>
  <c r="E82" i="6" s="1"/>
  <c r="E10" i="5" s="1"/>
  <c r="I80" i="6"/>
  <c r="I82" i="6" s="1"/>
  <c r="I10" i="5" s="1"/>
  <c r="F80" i="6"/>
  <c r="F82" i="6" s="1"/>
  <c r="F10" i="5" s="1"/>
  <c r="D80" i="6"/>
  <c r="D82" i="6" s="1"/>
  <c r="D10" i="5" s="1"/>
  <c r="G80" i="6"/>
  <c r="G82" i="6" s="1"/>
  <c r="G10" i="5" s="1"/>
  <c r="D37" i="3"/>
  <c r="B83" i="6"/>
  <c r="B85" i="6" s="1"/>
  <c r="B11" i="5" s="1"/>
  <c r="M99" i="3"/>
  <c r="C74" i="6" s="1"/>
  <c r="C72" i="6"/>
  <c r="E23" i="6"/>
  <c r="F23" i="6" s="1"/>
  <c r="I39" i="6"/>
  <c r="I16" i="5" s="1"/>
  <c r="H39" i="6"/>
  <c r="H16" i="5" s="1"/>
  <c r="H59" i="6"/>
  <c r="G58" i="6"/>
  <c r="G17" i="5" s="1"/>
  <c r="D85" i="3"/>
  <c r="J44" i="2"/>
  <c r="J45" i="2"/>
  <c r="J46" i="2"/>
  <c r="J43" i="2"/>
  <c r="A62" i="2"/>
  <c r="G63" i="2"/>
  <c r="G65" i="2"/>
  <c r="G62" i="2"/>
  <c r="A63" i="2"/>
  <c r="A64" i="2"/>
  <c r="A65" i="2"/>
  <c r="D36" i="3"/>
  <c r="D24" i="3"/>
  <c r="H6" i="4"/>
  <c r="H5" i="4"/>
  <c r="B19" i="4"/>
  <c r="B56" i="3"/>
  <c r="D56" i="3" s="1"/>
  <c r="B55" i="3"/>
  <c r="D55" i="3" s="1"/>
  <c r="B54" i="3"/>
  <c r="D54" i="3" s="1"/>
  <c r="B53" i="3"/>
  <c r="D53" i="3" s="1"/>
  <c r="B52" i="3"/>
  <c r="D52" i="3" s="1"/>
  <c r="B51" i="3"/>
  <c r="D51" i="3" s="1"/>
  <c r="B50" i="3"/>
  <c r="D50" i="3" s="1"/>
  <c r="B23" i="3"/>
  <c r="D23" i="3" s="1"/>
  <c r="B22" i="3"/>
  <c r="D22" i="3" s="1"/>
  <c r="D12" i="3"/>
  <c r="B58" i="6" s="1"/>
  <c r="B3" i="3"/>
  <c r="F3" i="3" s="1"/>
  <c r="G3" i="3" s="1"/>
  <c r="B2" i="3"/>
  <c r="F2" i="3" s="1"/>
  <c r="G2" i="3" s="1"/>
  <c r="J88" i="6" l="1"/>
  <c r="I28" i="6"/>
  <c r="I15" i="5" s="1"/>
  <c r="J26" i="6"/>
  <c r="L9" i="6"/>
  <c r="O20" i="3"/>
  <c r="F21" i="3" s="1"/>
  <c r="D21" i="3" s="1"/>
  <c r="H31" i="6"/>
  <c r="G33" i="6"/>
  <c r="H85" i="6"/>
  <c r="H11" i="5" s="1"/>
  <c r="I85" i="6"/>
  <c r="I11" i="5" s="1"/>
  <c r="G85" i="6"/>
  <c r="G11" i="5" s="1"/>
  <c r="E85" i="6"/>
  <c r="E11" i="5" s="1"/>
  <c r="D85" i="6"/>
  <c r="D11" i="5" s="1"/>
  <c r="F85" i="6"/>
  <c r="F11" i="5" s="1"/>
  <c r="E22" i="6"/>
  <c r="C75" i="6"/>
  <c r="D75" i="6"/>
  <c r="G23" i="6"/>
  <c r="F22" i="6"/>
  <c r="B17" i="5"/>
  <c r="B59" i="6"/>
  <c r="I17" i="5"/>
  <c r="H58" i="6"/>
  <c r="H17" i="5" s="1"/>
  <c r="D39" i="3"/>
  <c r="D40" i="3" s="1"/>
  <c r="F41" i="3" s="1"/>
  <c r="B10" i="5"/>
  <c r="B27" i="5" s="1"/>
  <c r="D57" i="3"/>
  <c r="D26" i="3"/>
  <c r="D23" i="2"/>
  <c r="E23" i="2"/>
  <c r="F23" i="2"/>
  <c r="G23" i="2"/>
  <c r="H23" i="2"/>
  <c r="C23" i="2"/>
  <c r="D31" i="1"/>
  <c r="D33" i="1"/>
  <c r="D24" i="1"/>
  <c r="D27" i="1" s="1"/>
  <c r="D23" i="1"/>
  <c r="D22" i="1" s="1"/>
  <c r="D15" i="1"/>
  <c r="D16" i="1" s="1"/>
  <c r="D8" i="1"/>
  <c r="F7" i="1"/>
  <c r="D5" i="5" l="1"/>
  <c r="D27" i="9"/>
  <c r="L88" i="6"/>
  <c r="K88" i="6"/>
  <c r="K26" i="6"/>
  <c r="J28" i="6"/>
  <c r="J15" i="5" s="1"/>
  <c r="K15" i="6"/>
  <c r="L15" i="6"/>
  <c r="J15" i="6"/>
  <c r="B18" i="6"/>
  <c r="K18" i="6"/>
  <c r="D18" i="6"/>
  <c r="J18" i="6"/>
  <c r="L18" i="6"/>
  <c r="E18" i="6"/>
  <c r="E21" i="6" s="1"/>
  <c r="E13" i="5" s="1"/>
  <c r="D15" i="6"/>
  <c r="H18" i="6"/>
  <c r="H15" i="6"/>
  <c r="F15" i="6"/>
  <c r="G15" i="6"/>
  <c r="F18" i="6"/>
  <c r="F21" i="6" s="1"/>
  <c r="F13" i="5" s="1"/>
  <c r="I18" i="6"/>
  <c r="G18" i="6"/>
  <c r="I15" i="6"/>
  <c r="C15" i="6"/>
  <c r="E15" i="6"/>
  <c r="B15" i="6"/>
  <c r="D21" i="6"/>
  <c r="D13" i="5" s="1"/>
  <c r="C26" i="5"/>
  <c r="I31" i="6"/>
  <c r="J31" i="6" s="1"/>
  <c r="H33" i="6"/>
  <c r="E75" i="6"/>
  <c r="H23" i="6"/>
  <c r="I23" i="6" s="1"/>
  <c r="J23" i="6" s="1"/>
  <c r="G22" i="6"/>
  <c r="D58" i="3"/>
  <c r="D17" i="1"/>
  <c r="D21" i="1"/>
  <c r="E26" i="9" l="1"/>
  <c r="D31" i="9"/>
  <c r="D35" i="9" s="1"/>
  <c r="E5" i="5"/>
  <c r="K31" i="6"/>
  <c r="J33" i="6"/>
  <c r="K28" i="6"/>
  <c r="K15" i="5" s="1"/>
  <c r="L26" i="6"/>
  <c r="L28" i="6" s="1"/>
  <c r="L15" i="5" s="1"/>
  <c r="M15" i="5" s="1"/>
  <c r="K23" i="6"/>
  <c r="J22" i="6"/>
  <c r="J21" i="6" s="1"/>
  <c r="D25" i="1"/>
  <c r="D26" i="1" s="1"/>
  <c r="G21" i="6"/>
  <c r="G13" i="5" s="1"/>
  <c r="B31" i="5"/>
  <c r="C27" i="5"/>
  <c r="I33" i="6"/>
  <c r="F75" i="6"/>
  <c r="I22" i="6"/>
  <c r="H22" i="6"/>
  <c r="H21" i="6" s="1"/>
  <c r="H13" i="5" s="1"/>
  <c r="D59" i="3"/>
  <c r="E27" i="9" l="1"/>
  <c r="E31" i="9" s="1"/>
  <c r="E35" i="9" s="1"/>
  <c r="D36" i="9"/>
  <c r="F5" i="5"/>
  <c r="L31" i="6"/>
  <c r="L33" i="6" s="1"/>
  <c r="K33" i="6"/>
  <c r="I21" i="6"/>
  <c r="I13" i="5" s="1"/>
  <c r="L23" i="6"/>
  <c r="L22" i="6" s="1"/>
  <c r="L21" i="6" s="1"/>
  <c r="K22" i="6"/>
  <c r="K21" i="6" s="1"/>
  <c r="D29" i="1"/>
  <c r="D34" i="1"/>
  <c r="D27" i="5"/>
  <c r="C31" i="5"/>
  <c r="G5" i="5"/>
  <c r="F26" i="9" l="1"/>
  <c r="F27" i="9" s="1"/>
  <c r="E52" i="9"/>
  <c r="E36" i="9"/>
  <c r="E42" i="9" s="1"/>
  <c r="E26" i="5"/>
  <c r="D31" i="5"/>
  <c r="D35" i="5" s="1"/>
  <c r="I75" i="6"/>
  <c r="H75" i="6"/>
  <c r="D36" i="5" l="1"/>
  <c r="R35" i="5" s="1"/>
  <c r="I5" i="5"/>
  <c r="G26" i="9"/>
  <c r="G27" i="9" s="1"/>
  <c r="F31" i="9"/>
  <c r="F35" i="9" s="1"/>
  <c r="H5" i="5"/>
  <c r="E27" i="5"/>
  <c r="E31" i="5" s="1"/>
  <c r="E35" i="5" s="1"/>
  <c r="D48" i="5"/>
  <c r="H26" i="9" l="1"/>
  <c r="H27" i="9" s="1"/>
  <c r="G31" i="9"/>
  <c r="G35" i="9" s="1"/>
  <c r="F52" i="9"/>
  <c r="F36" i="9"/>
  <c r="F42" i="9" s="1"/>
  <c r="D40" i="5"/>
  <c r="E48" i="5"/>
  <c r="F26" i="5"/>
  <c r="E36" i="5"/>
  <c r="S35" i="5" s="1"/>
  <c r="G36" i="9" l="1"/>
  <c r="G42" i="9" s="1"/>
  <c r="G52" i="9"/>
  <c r="I26" i="9"/>
  <c r="I27" i="9" s="1"/>
  <c r="H31" i="9"/>
  <c r="H35" i="9" s="1"/>
  <c r="E40" i="5"/>
  <c r="F27" i="5"/>
  <c r="J26" i="9" l="1"/>
  <c r="J27" i="9" s="1"/>
  <c r="I31" i="9"/>
  <c r="I35" i="9" s="1"/>
  <c r="H52" i="9"/>
  <c r="H36" i="9"/>
  <c r="H42" i="9" s="1"/>
  <c r="G26" i="5"/>
  <c r="F31" i="5"/>
  <c r="F35" i="5" s="1"/>
  <c r="I36" i="9" l="1"/>
  <c r="I42" i="9" s="1"/>
  <c r="I52" i="9"/>
  <c r="K26" i="9"/>
  <c r="K27" i="9" s="1"/>
  <c r="J31" i="9"/>
  <c r="J35" i="9" s="1"/>
  <c r="F48" i="5"/>
  <c r="F36" i="5"/>
  <c r="T35" i="5" s="1"/>
  <c r="G27" i="5"/>
  <c r="J52" i="9" l="1"/>
  <c r="J36" i="9"/>
  <c r="J42" i="9" s="1"/>
  <c r="L26" i="9"/>
  <c r="L27" i="9" s="1"/>
  <c r="K31" i="9"/>
  <c r="K35" i="9" s="1"/>
  <c r="F40" i="5"/>
  <c r="H26" i="5"/>
  <c r="G31" i="5"/>
  <c r="G35" i="5" s="1"/>
  <c r="K36" i="9" l="1"/>
  <c r="K42" i="9" s="1"/>
  <c r="K52" i="9"/>
  <c r="L31" i="9"/>
  <c r="L35" i="9" s="1"/>
  <c r="M26" i="9"/>
  <c r="M27" i="9" s="1"/>
  <c r="M31" i="9" s="1"/>
  <c r="H27" i="5"/>
  <c r="G48" i="5"/>
  <c r="G36" i="5"/>
  <c r="U35" i="5" s="1"/>
  <c r="M35" i="9" l="1"/>
  <c r="M36" i="9" s="1"/>
  <c r="L36" i="9"/>
  <c r="L42" i="9" s="1"/>
  <c r="B43" i="9" s="1"/>
  <c r="L52" i="9"/>
  <c r="B53" i="9" s="1"/>
  <c r="B54" i="9" s="1"/>
  <c r="I26" i="5"/>
  <c r="I27" i="5" s="1"/>
  <c r="H31" i="5"/>
  <c r="H35" i="5" s="1"/>
  <c r="G40" i="5"/>
  <c r="B44" i="9" l="1"/>
  <c r="B46" i="9" s="1"/>
  <c r="H48" i="5"/>
  <c r="H36" i="5"/>
  <c r="V35" i="5" s="1"/>
  <c r="I31" i="5"/>
  <c r="I35" i="5" s="1"/>
  <c r="J26" i="5"/>
  <c r="J27" i="5" s="1"/>
  <c r="I48" i="5" l="1"/>
  <c r="I36" i="5"/>
  <c r="H40" i="5"/>
  <c r="K26" i="5"/>
  <c r="K27" i="5" s="1"/>
  <c r="J31" i="5"/>
  <c r="J35" i="5" s="1"/>
  <c r="I40" i="5" l="1"/>
  <c r="W35" i="5"/>
  <c r="J48" i="5"/>
  <c r="J36" i="5"/>
  <c r="L26" i="5"/>
  <c r="L27" i="5" s="1"/>
  <c r="K31" i="5"/>
  <c r="K35" i="5" s="1"/>
  <c r="J40" i="5" l="1"/>
  <c r="X35" i="5"/>
  <c r="M26" i="5"/>
  <c r="M27" i="5" s="1"/>
  <c r="M31" i="5" s="1"/>
  <c r="M35" i="5" s="1"/>
  <c r="L31" i="5"/>
  <c r="L35" i="5" s="1"/>
  <c r="K48" i="5"/>
  <c r="K36" i="5"/>
  <c r="M36" i="5" l="1"/>
  <c r="M40" i="5" s="1"/>
  <c r="M48" i="5"/>
  <c r="K40" i="5"/>
  <c r="Y35" i="5"/>
  <c r="L48" i="5"/>
  <c r="B50" i="5" s="1"/>
  <c r="L36" i="5"/>
  <c r="B51" i="5" l="1"/>
  <c r="L40" i="5"/>
  <c r="B42" i="5" s="1"/>
  <c r="Z35" i="5"/>
  <c r="B44" i="5" l="1"/>
  <c r="B47" i="9" s="1"/>
  <c r="C44" i="5"/>
  <c r="B41" i="5"/>
  <c r="D42" i="5" s="1"/>
</calcChain>
</file>

<file path=xl/comments1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 výroční zprávy 2015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Průměrná cena podle ERU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Rok 2015 vybrán do objemu výroby jako realistycký pro další predikce.</t>
        </r>
      </text>
    </comment>
    <comment ref="K9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Mimořádná odstávka turbíny</t>
        </r>
      </text>
    </comment>
    <comment ref="L9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Plánovaná výroba na 94% </t>
        </r>
      </text>
    </comment>
    <comment ref="M9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Vzhledem k nízkým cenám silové
elektřiny byla výroba omezena pouze na vynucenou výrobu v souvislosti s dodávkami tepla a bezpečným provozem technologického zařízení.
Zpráva o podnikatelské činnosti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Futures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Cena povolenek se v roce 2023 dostane na průměr z roku 2015.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Futures</t>
        </r>
      </text>
    </comment>
  </commentList>
</comments>
</file>

<file path=xl/sharedStrings.xml><?xml version="1.0" encoding="utf-8"?>
<sst xmlns="http://schemas.openxmlformats.org/spreadsheetml/2006/main" count="872" uniqueCount="435">
  <si>
    <t>Data z výsledovky 2015</t>
  </si>
  <si>
    <t>Tržby za prodej vlastních výrobků a služeb</t>
  </si>
  <si>
    <t>[tis. Kč]</t>
  </si>
  <si>
    <t>Náklady na prodej vl. Výrobků a služeb</t>
  </si>
  <si>
    <t>+</t>
  </si>
  <si>
    <t>-</t>
  </si>
  <si>
    <t>II.1</t>
  </si>
  <si>
    <t>B.</t>
  </si>
  <si>
    <t>_Spotřeba materiálu a energie</t>
  </si>
  <si>
    <t>B.1</t>
  </si>
  <si>
    <t>B.2.</t>
  </si>
  <si>
    <t>_Služby</t>
  </si>
  <si>
    <t>∑</t>
  </si>
  <si>
    <t>OK</t>
  </si>
  <si>
    <t>Přidaná hodnota</t>
  </si>
  <si>
    <t>C.</t>
  </si>
  <si>
    <t>Osobní náklady</t>
  </si>
  <si>
    <t xml:space="preserve">E. </t>
  </si>
  <si>
    <t>Odpisy</t>
  </si>
  <si>
    <t>IV.</t>
  </si>
  <si>
    <t>Ostatní provozní výnosy</t>
  </si>
  <si>
    <t>H.</t>
  </si>
  <si>
    <t>Ostatní provozní náklady</t>
  </si>
  <si>
    <t>Provozní výsledek hospodaření</t>
  </si>
  <si>
    <t>N.</t>
  </si>
  <si>
    <t>Nákladové úroky</t>
  </si>
  <si>
    <t>Výsledek hospodaření před zdaněním</t>
  </si>
  <si>
    <t>Daň z příjmu za běžnou činnost</t>
  </si>
  <si>
    <t>Výsledek hospodaření po zdanění</t>
  </si>
  <si>
    <t>Navrhnutí finančního plánu pouze v oboru hlavní činnosti</t>
  </si>
  <si>
    <t>Data z CF 2015</t>
  </si>
  <si>
    <t>Z.</t>
  </si>
  <si>
    <t>Učetní zisk před zdaněním</t>
  </si>
  <si>
    <t>A.1.</t>
  </si>
  <si>
    <t>Úprava o nepeněžní operace</t>
  </si>
  <si>
    <t>A.1.1.</t>
  </si>
  <si>
    <t>Odpisy stálých aktiv</t>
  </si>
  <si>
    <t>A.1.5.</t>
  </si>
  <si>
    <t>Vyúčtované nákladové úroky</t>
  </si>
  <si>
    <t>Stav peněžních toků na začátku</t>
  </si>
  <si>
    <t>P.</t>
  </si>
  <si>
    <t>Čistý peněžní tok z provozní činnosti před zdaněním, změnami pracovního kapitálu a mimořádnými položkami</t>
  </si>
  <si>
    <t>A.*</t>
  </si>
  <si>
    <t>Úprava znaménka pro výpočet</t>
  </si>
  <si>
    <t>Skupinu A.2. pracovní kapitál považuji pro zjednodušení za konstantní</t>
  </si>
  <si>
    <t>A.**</t>
  </si>
  <si>
    <t>Čistý peněžní tok z provozní činnosti před zdaněním a mimořádnými položkam</t>
  </si>
  <si>
    <t>A.3</t>
  </si>
  <si>
    <t>Vyplacené úroky</t>
  </si>
  <si>
    <t>A.5</t>
  </si>
  <si>
    <t>Zaplacená daň z příjmu za minulá období</t>
  </si>
  <si>
    <t>A.***</t>
  </si>
  <si>
    <t>Čistý peněžní tok z provozní činnosti</t>
  </si>
  <si>
    <t>Výdaje spojené s nabytím stálých aktiv</t>
  </si>
  <si>
    <t>Sem dosadím průměrné investice do majetku</t>
  </si>
  <si>
    <t>C.1</t>
  </si>
  <si>
    <t>Změna stavu dlouhodobých, krátkodobých závazků</t>
  </si>
  <si>
    <t>B.***</t>
  </si>
  <si>
    <t>Čistý peněžní tok vztahující se k investiční činnosti</t>
  </si>
  <si>
    <t>C.***</t>
  </si>
  <si>
    <t>Čistý peněžní tok vztahující se k finanční činnosti</t>
  </si>
  <si>
    <t>F.</t>
  </si>
  <si>
    <t>Čisté zvýšení snížení peněžních prostředků</t>
  </si>
  <si>
    <t>Prodej tepla celkem</t>
  </si>
  <si>
    <t>GJ</t>
  </si>
  <si>
    <t>Prodej elektřiny celkem</t>
  </si>
  <si>
    <t>MWh</t>
  </si>
  <si>
    <t>TEPLO</t>
  </si>
  <si>
    <t>Prodej na parovodní síti [GJ]</t>
  </si>
  <si>
    <t>z toho byty [GJ]</t>
  </si>
  <si>
    <t>z toho nebyty [GJ]</t>
  </si>
  <si>
    <t>Prodej na teplovodní síti [GJ]</t>
  </si>
  <si>
    <t>Prodej celkem [GJ]</t>
  </si>
  <si>
    <t>ELEKTŘINA</t>
  </si>
  <si>
    <t>Celková výroba elektřiny [MWh]</t>
  </si>
  <si>
    <t>z toho vyrobeno v kondenzaci [MWh]</t>
  </si>
  <si>
    <t>z toho vyrobeno v kogeneraci [MWh]</t>
  </si>
  <si>
    <t>Celkový prodej elektřiny [MWh]</t>
  </si>
  <si>
    <t>Vlastní spotřeba [MWh]</t>
  </si>
  <si>
    <t>Voda</t>
  </si>
  <si>
    <t>Povrchová voda pro demi vodu [m3]</t>
  </si>
  <si>
    <t>Povrchová voda pro chladící [m3]</t>
  </si>
  <si>
    <t>Celkový odběr povrchové vody [m3]</t>
  </si>
  <si>
    <t>tis. Kč</t>
  </si>
  <si>
    <t>Kč/GJ</t>
  </si>
  <si>
    <t>prům. cena</t>
  </si>
  <si>
    <t>Kč/MWh</t>
  </si>
  <si>
    <t>Rozbor nákladů</t>
  </si>
  <si>
    <t>VEP</t>
  </si>
  <si>
    <t>Opravy [tis. Kč]</t>
  </si>
  <si>
    <t>Investice [tis. Kč]</t>
  </si>
  <si>
    <t>Popílek [t]</t>
  </si>
  <si>
    <t>Škvára [t]</t>
  </si>
  <si>
    <t>Produkt [t]</t>
  </si>
  <si>
    <t>Zaměstnanci [počet]</t>
  </si>
  <si>
    <t>Mzdové náklady</t>
  </si>
  <si>
    <t>Mzdové náklady celkem [tis. Kč]</t>
  </si>
  <si>
    <t>Náklady na soc. a zdr. [tis. Kč]</t>
  </si>
  <si>
    <t>Sociální náklady [tis. Kč]</t>
  </si>
  <si>
    <t>Odměndy členům stat. Org. [tis. Kč]</t>
  </si>
  <si>
    <t>Spotřeba materiálu</t>
  </si>
  <si>
    <t>Spotřeba paliv</t>
  </si>
  <si>
    <t>Energie, voda</t>
  </si>
  <si>
    <t>Ekologie</t>
  </si>
  <si>
    <t>Opravy dodavatelské</t>
  </si>
  <si>
    <t>Ostatní náklady</t>
  </si>
  <si>
    <t>Vstupy paliv 2015</t>
  </si>
  <si>
    <t>Uhlí</t>
  </si>
  <si>
    <t>Mazut</t>
  </si>
  <si>
    <t>Vápenný hydrát</t>
  </si>
  <si>
    <t>Biomasa</t>
  </si>
  <si>
    <t>TOEL</t>
  </si>
  <si>
    <t>Uhlí [t]</t>
  </si>
  <si>
    <t>Mazut [t]</t>
  </si>
  <si>
    <t>Vápenný hydrát [t]</t>
  </si>
  <si>
    <t>Nox AMID [t]</t>
  </si>
  <si>
    <t>Biomasa [t]</t>
  </si>
  <si>
    <t>Vápenec [t]</t>
  </si>
  <si>
    <t>TOEL [t]</t>
  </si>
  <si>
    <t>t</t>
  </si>
  <si>
    <t>Kč/t</t>
  </si>
  <si>
    <t>dle výpočtu</t>
  </si>
  <si>
    <t>Celkem</t>
  </si>
  <si>
    <t>litrů</t>
  </si>
  <si>
    <t>Kč/l</t>
  </si>
  <si>
    <t>Kč/m3</t>
  </si>
  <si>
    <t>Voda pitná</t>
  </si>
  <si>
    <t>m3</t>
  </si>
  <si>
    <t>Kč/tunu</t>
  </si>
  <si>
    <t>Kč/kg</t>
  </si>
  <si>
    <t>Ionexové hmoty</t>
  </si>
  <si>
    <t>Kč/litr</t>
  </si>
  <si>
    <t>HCI 31%</t>
  </si>
  <si>
    <t>NaOH 50%</t>
  </si>
  <si>
    <t>polyakrylamid</t>
  </si>
  <si>
    <t>FeCl3 40%</t>
  </si>
  <si>
    <t>NACl</t>
  </si>
  <si>
    <t>NaOH pevný</t>
  </si>
  <si>
    <t>Na3PO4</t>
  </si>
  <si>
    <t>Ionexové hmoty [l]</t>
  </si>
  <si>
    <t>l</t>
  </si>
  <si>
    <t>HCl</t>
  </si>
  <si>
    <t>Polayakrylamidu</t>
  </si>
  <si>
    <t>FECl3 40%</t>
  </si>
  <si>
    <t>Na3Po4</t>
  </si>
  <si>
    <t>Spotřeba materiál</t>
  </si>
  <si>
    <t>Z Prohlášení k životnímu prostředí za rok 2015</t>
  </si>
  <si>
    <t>VSTUPY</t>
  </si>
  <si>
    <t>PALIVO</t>
  </si>
  <si>
    <t>hnědé uhlí</t>
  </si>
  <si>
    <t>mazut</t>
  </si>
  <si>
    <t>biomasa</t>
  </si>
  <si>
    <t>SUROVÁ VODA</t>
  </si>
  <si>
    <t>POMOCNÉ LÁTKY</t>
  </si>
  <si>
    <t>vápený hydrát</t>
  </si>
  <si>
    <t>NOXAMID</t>
  </si>
  <si>
    <t>HCL31</t>
  </si>
  <si>
    <t>NAOH50</t>
  </si>
  <si>
    <t>POLYAKRYLAMID</t>
  </si>
  <si>
    <t>FECL40</t>
  </si>
  <si>
    <t>NACL</t>
  </si>
  <si>
    <t>NAOH pevný</t>
  </si>
  <si>
    <t>NA3PO4</t>
  </si>
  <si>
    <t>IONEXOVÉ HMOTY</t>
  </si>
  <si>
    <t>PITNÁ VODA</t>
  </si>
  <si>
    <t>ELEKTRICKÁ ENERGIE</t>
  </si>
  <si>
    <t>VÝSTUPY</t>
  </si>
  <si>
    <t>TEPLO PRODEJ</t>
  </si>
  <si>
    <t>ELEKTRICKÁ ENERGIE PRODEJ</t>
  </si>
  <si>
    <t>EMISE DO OVZDUŠÍ</t>
  </si>
  <si>
    <t>TZL (tuhé znečisťující látky)</t>
  </si>
  <si>
    <t>SO2</t>
  </si>
  <si>
    <t>NOX</t>
  </si>
  <si>
    <t>CO</t>
  </si>
  <si>
    <t>VEDLEJŠÍ ENERGETICKÉ PRODUKTY</t>
  </si>
  <si>
    <t>popílek</t>
  </si>
  <si>
    <t>škvára</t>
  </si>
  <si>
    <t>produkt odsíření</t>
  </si>
  <si>
    <t>ODPADY</t>
  </si>
  <si>
    <t>nebezpečné odpady</t>
  </si>
  <si>
    <t>železo,měď, kabely</t>
  </si>
  <si>
    <t>stavební odpady</t>
  </si>
  <si>
    <t>kaly</t>
  </si>
  <si>
    <t>další</t>
  </si>
  <si>
    <t>EKOLOGIE [t]</t>
  </si>
  <si>
    <t>CO2</t>
  </si>
  <si>
    <t>v GJ</t>
  </si>
  <si>
    <t>Výhřevnost prům.</t>
  </si>
  <si>
    <t>GJ/t</t>
  </si>
  <si>
    <t>Pro rok 2015</t>
  </si>
  <si>
    <t>Spotřeba VEP do stavebních prací tudíž nevstupuje do finančních výkazů</t>
  </si>
  <si>
    <t>Navýšení zásob</t>
  </si>
  <si>
    <t>Emisní povolenky</t>
  </si>
  <si>
    <t>nakoupeno</t>
  </si>
  <si>
    <t>Výnosy před povolenkami</t>
  </si>
  <si>
    <t>Výnosy po povolenkách</t>
  </si>
  <si>
    <t>Náklady na povolenky</t>
  </si>
  <si>
    <t>Náklady před povolenkami</t>
  </si>
  <si>
    <t>Náklady po povolenkách</t>
  </si>
  <si>
    <t>využito</t>
  </si>
  <si>
    <t>EUA</t>
  </si>
  <si>
    <t>přiděleno EUA</t>
  </si>
  <si>
    <t>nakoupeno EUA</t>
  </si>
  <si>
    <t>TZL</t>
  </si>
  <si>
    <t>2013-2016</t>
  </si>
  <si>
    <t>2021-&gt;</t>
  </si>
  <si>
    <t>VOC</t>
  </si>
  <si>
    <t>Celkem Ekologie</t>
  </si>
  <si>
    <t>Emisní poplatky 201/2012 Sb.</t>
  </si>
  <si>
    <t>Otava Závod Horní Vltava</t>
  </si>
  <si>
    <t>Plán povodí horní Vltava Ekonomická část</t>
  </si>
  <si>
    <t>Voda povrchová chladící</t>
  </si>
  <si>
    <t>Voda výroba demi</t>
  </si>
  <si>
    <t>průtočná</t>
  </si>
  <si>
    <t>odběr</t>
  </si>
  <si>
    <t>Pitná voda [m3]</t>
  </si>
  <si>
    <t>vodné + stočné</t>
  </si>
  <si>
    <t>Zbytek nákladů na energie</t>
  </si>
  <si>
    <t>Kč/Mwh</t>
  </si>
  <si>
    <t>Ocenění vlastní spotřeby</t>
  </si>
  <si>
    <t>(0,8*ARA/Výhřevnost)*Kurz USD</t>
  </si>
  <si>
    <t>Z Výroční zprávy 2014</t>
  </si>
  <si>
    <t>Výhřevnost ARA</t>
  </si>
  <si>
    <t>Gj/t</t>
  </si>
  <si>
    <t>Prům výhřevnost h. u.</t>
  </si>
  <si>
    <t>ARA 2015 [USD/t]</t>
  </si>
  <si>
    <t>USD 2015</t>
  </si>
  <si>
    <t>USD/t</t>
  </si>
  <si>
    <t>Doprava</t>
  </si>
  <si>
    <t>Náklady na dopravu paliva - zbytek nákladů po odečtení ceny paliv</t>
  </si>
  <si>
    <t>Vapený hydrát apod. + materiál na opravy - pro zjednodušení bude zhruba po celou dobu stejný</t>
  </si>
  <si>
    <t>Materiál na opravy</t>
  </si>
  <si>
    <t>Nekonzistentnost ve Výroční zprávě - Nepoužito pro ocenění</t>
  </si>
  <si>
    <t>Vyplacené nákladové úroky</t>
  </si>
  <si>
    <t>Změna stavu dlouhodobých krátkodobých závazků</t>
  </si>
  <si>
    <t>Výdaje spojené s nabitím stálých aktiv</t>
  </si>
  <si>
    <t>Modelace Korigovaného provozního výsledku hospodaření</t>
  </si>
  <si>
    <t>FCF</t>
  </si>
  <si>
    <t>nevyužito</t>
  </si>
  <si>
    <t>Rozbor tržeb 2015</t>
  </si>
  <si>
    <t>Rozbor tržeb 2016</t>
  </si>
  <si>
    <t>Průměrná inflace 2016</t>
  </si>
  <si>
    <t>Spotřeba vody 2015</t>
  </si>
  <si>
    <t>Spotřeba vody 2016</t>
  </si>
  <si>
    <t>Podle burzy EEX v Lipsku</t>
  </si>
  <si>
    <t>Výpočetní vzorec uvedený ve Výroční zprávě za rok 2014 - (0,8*ARA/Výhřevnost)*Kurz USD</t>
  </si>
  <si>
    <t>Futures ARA</t>
  </si>
  <si>
    <t>ARA [USD/t]</t>
  </si>
  <si>
    <t>Nakoupeno</t>
  </si>
  <si>
    <t>Prům. cena povolenky</t>
  </si>
  <si>
    <t>Nákl. na povolenky</t>
  </si>
  <si>
    <t>Na další období</t>
  </si>
  <si>
    <t>Přiděleno zdarma</t>
  </si>
  <si>
    <t>Emise CO2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</si>
  <si>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</si>
  <si>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</si>
  <si>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</si>
  <si>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</si>
  <si>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</si>
  <si>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</si>
  <si>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</si>
  <si>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</si>
  <si>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</si>
  <si>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</si>
  <si>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</si>
  <si>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</si>
  <si>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Náklady na palivo</t>
  </si>
  <si>
    <t>[Kč/t]</t>
  </si>
  <si>
    <t>Spotřeba [t]</t>
  </si>
  <si>
    <t>Cena celkem</t>
  </si>
  <si>
    <t>TTO - Mazut</t>
  </si>
  <si>
    <t>Dle Kurzy CZ</t>
  </si>
  <si>
    <t>USD/gal</t>
  </si>
  <si>
    <t>kg/m3</t>
  </si>
  <si>
    <t>1gal/l</t>
  </si>
  <si>
    <t>Kč/gal</t>
  </si>
  <si>
    <t>Cena celkem [tis. Kč]</t>
  </si>
  <si>
    <t>hustota TTO</t>
  </si>
  <si>
    <t>Výchozí cena dle internetu 24 Kč/l</t>
  </si>
  <si>
    <t>[Kč/l]</t>
  </si>
  <si>
    <t>Spotřeba [l]</t>
  </si>
  <si>
    <t>Hustota</t>
  </si>
  <si>
    <t>Odpisy Daňové</t>
  </si>
  <si>
    <t>Počet pracovních míst</t>
  </si>
  <si>
    <t>Osobní náklady [tis. Kč]</t>
  </si>
  <si>
    <t>Průměrné nákl.</t>
  </si>
  <si>
    <t>Růst mezd</t>
  </si>
  <si>
    <t>Růst ostatních nákladů</t>
  </si>
  <si>
    <t>Prům.</t>
  </si>
  <si>
    <t>Výhřevnost</t>
  </si>
  <si>
    <t>Výhřevnost ČR</t>
  </si>
  <si>
    <t>Přepočet dle vzorce [Kč/GJ]</t>
  </si>
  <si>
    <t>Spotřeba uhlí [GJ]</t>
  </si>
  <si>
    <t>Cena Uhlí dle GJ</t>
  </si>
  <si>
    <t>Inflační cíl</t>
  </si>
  <si>
    <t>Prodané teplo [GJ]</t>
  </si>
  <si>
    <t>Prodaná el. energie [MWh]</t>
  </si>
  <si>
    <t>Výroba energie</t>
  </si>
  <si>
    <t>Tržby teplo</t>
  </si>
  <si>
    <t>Přepočet ČR uhlí [Kč/t]</t>
  </si>
  <si>
    <t>Dle výroční zprávy za uhlí</t>
  </si>
  <si>
    <t>Doprava Kč/t</t>
  </si>
  <si>
    <t>Doprava Kč/t*km</t>
  </si>
  <si>
    <t>Most-&gt;Strakonice</t>
  </si>
  <si>
    <t>km</t>
  </si>
  <si>
    <t>Rozdíl - Doprava</t>
  </si>
  <si>
    <t>Tržby z tepla</t>
  </si>
  <si>
    <t>Tržby z tepla [tis. Kč]</t>
  </si>
  <si>
    <t>Průměrná cen [Kč/GJ]</t>
  </si>
  <si>
    <t>Navržená cena [GJ]</t>
  </si>
  <si>
    <t>Tržby elektřina</t>
  </si>
  <si>
    <t>Tržby z elektřiny [tis. Kč]</t>
  </si>
  <si>
    <t>Průměrná cena [Kč/MWh]</t>
  </si>
  <si>
    <t>Prodaná elektřina [MWh]</t>
  </si>
  <si>
    <t>Roční změna od 2017</t>
  </si>
  <si>
    <t>Roční změna ceny dopravy</t>
  </si>
  <si>
    <t>Potřeba uhlí [t]</t>
  </si>
  <si>
    <t>Vývoj ceny vody</t>
  </si>
  <si>
    <t>Vývo cen podobně jako ropa</t>
  </si>
  <si>
    <t>Cena [Kč/m3]</t>
  </si>
  <si>
    <t>Voda povrchová chladící [m3]</t>
  </si>
  <si>
    <t>Voda výroba demi [m3]</t>
  </si>
  <si>
    <t>Voda pitná [m3]</t>
  </si>
  <si>
    <t>Cena Celkem</t>
  </si>
  <si>
    <t>Vývoj spotřeby vody</t>
  </si>
  <si>
    <t>Vyrobená elektřina konden</t>
  </si>
  <si>
    <t>Arit. Průměr</t>
  </si>
  <si>
    <t>Ostatní materiál významný</t>
  </si>
  <si>
    <t>Ostatní materiál</t>
  </si>
  <si>
    <t>HCl [t]</t>
  </si>
  <si>
    <t>Cena [Kč/t]</t>
  </si>
  <si>
    <t>Do výpočtu nezahrnuty pouze pro kontrolu jestli sedí s daty 2015</t>
  </si>
  <si>
    <t>Vápený hydrát [t]</t>
  </si>
  <si>
    <t>200-230</t>
  </si>
  <si>
    <t>Vývoj cen</t>
  </si>
  <si>
    <t>Inflace?</t>
  </si>
  <si>
    <t>Inflace</t>
  </si>
  <si>
    <t>Vývoj cen za ekologii</t>
  </si>
  <si>
    <t>TZL [t]</t>
  </si>
  <si>
    <t>SO2 [t]</t>
  </si>
  <si>
    <t>NOX [t]</t>
  </si>
  <si>
    <t>TZL [tis. Kč]</t>
  </si>
  <si>
    <t>SO2 [tis. Kč]</t>
  </si>
  <si>
    <t>NOX [tis. Kč]</t>
  </si>
  <si>
    <t>Vzhledem k velkým investicím v nedaleké minulosti lze předpokládat poměrně velkou obnovu celkového vybavení tudíž je vidět jasná tendence snižování nákladů na opravy v rámci realistického scénáře nechám podle roku 2016 a zvyšující se o inflaci</t>
  </si>
  <si>
    <t>Změna cen</t>
  </si>
  <si>
    <t>Celkem [tis. Kč]</t>
  </si>
  <si>
    <t>Využito nakoupených povolenek</t>
  </si>
  <si>
    <t>Redukčí tempo</t>
  </si>
  <si>
    <t>http://www.spcr.cz/images/%C4%8Dl%C3%A1nek_ETS_SP_FINAL.pdf</t>
  </si>
  <si>
    <t>Bankovní úvěry a výpomoci</t>
  </si>
  <si>
    <t>Změna</t>
  </si>
  <si>
    <t>Nákladový úrok</t>
  </si>
  <si>
    <t>3M PRIBOR + 1,2%</t>
  </si>
  <si>
    <t>3M PRIBOR</t>
  </si>
  <si>
    <t>Pevný úrok</t>
  </si>
  <si>
    <t>Úroková sazba</t>
  </si>
  <si>
    <t>Zbytek úvěru doplatit [tis. Kč]</t>
  </si>
  <si>
    <t>PODLE PXE FUTURES</t>
  </si>
  <si>
    <t>Ostatní výnosy</t>
  </si>
  <si>
    <t>Ostaní náklady</t>
  </si>
  <si>
    <t>PXE Futures [EUR/MWh]</t>
  </si>
  <si>
    <t>Vývoj kurzu CZK</t>
  </si>
  <si>
    <t>USD</t>
  </si>
  <si>
    <t>EUR</t>
  </si>
  <si>
    <t>Navržená cena [Kč/MWh]</t>
  </si>
  <si>
    <t>Vypočítáno podle odloženého daňového závazku (Úč. Odpisy - Daňové) x Sazba daňě = odložená daň</t>
  </si>
  <si>
    <t>Zdroj: ČNB a http://www.tradingeconomics.com/forecast/interbank-rate</t>
  </si>
  <si>
    <t>Daňové odpisy</t>
  </si>
  <si>
    <t>Účetní odpisy</t>
  </si>
  <si>
    <t>Daňová sazba</t>
  </si>
  <si>
    <t>Odložená daň</t>
  </si>
  <si>
    <t>Daňový odpis</t>
  </si>
  <si>
    <t>Futures</t>
  </si>
  <si>
    <t>Přibližný prodej elektřiny z kogenerace</t>
  </si>
  <si>
    <t>pro výpočet dotace</t>
  </si>
  <si>
    <t>Změna cen povolenek</t>
  </si>
  <si>
    <t>Přiděleno dle 10c na ele</t>
  </si>
  <si>
    <t>Přiděleno dle 10a na teplo</t>
  </si>
  <si>
    <t>Průměr poklesu</t>
  </si>
  <si>
    <t>Podpora KVET</t>
  </si>
  <si>
    <t>Výroba kogenerace</t>
  </si>
  <si>
    <t>Vyrobeno v kogeneraci</t>
  </si>
  <si>
    <t>Vyrobeno v kondenzaci</t>
  </si>
  <si>
    <t>Poměr</t>
  </si>
  <si>
    <t>Podpora??</t>
  </si>
  <si>
    <t>Dotace</t>
  </si>
  <si>
    <t>Výše dotace</t>
  </si>
  <si>
    <t>Vývoj průměrných cen tepelné energie</t>
  </si>
  <si>
    <t>Převod</t>
  </si>
  <si>
    <t>Geom.</t>
  </si>
  <si>
    <t>Prům. cena povolenky EUR</t>
  </si>
  <si>
    <t>po 2025</t>
  </si>
  <si>
    <t>FCFF</t>
  </si>
  <si>
    <t>PH</t>
  </si>
  <si>
    <t>FCFE</t>
  </si>
  <si>
    <t>WACC dle Darmodarana</t>
  </si>
  <si>
    <t>WACC Europe, Power, očekávaná inflace 2%</t>
  </si>
  <si>
    <t>tempo růstu</t>
  </si>
  <si>
    <t>Změna realistická</t>
  </si>
  <si>
    <t>Cost of Equity dle Darmodarana</t>
  </si>
  <si>
    <t>Vývoj po Futures</t>
  </si>
  <si>
    <t>Poměr tržeb 2016x2017</t>
  </si>
  <si>
    <t>Průměr</t>
  </si>
  <si>
    <t>Prodané teplo [Kč/GJ]</t>
  </si>
  <si>
    <t>Úmor úvěru [tis. Kč]</t>
  </si>
  <si>
    <t>USD/CZK</t>
  </si>
  <si>
    <t>EUR/CZK</t>
  </si>
  <si>
    <t>inflace</t>
  </si>
  <si>
    <t>g</t>
  </si>
  <si>
    <t>Cena Uhlí dle t</t>
  </si>
  <si>
    <t>Hodnota brutto</t>
  </si>
  <si>
    <t>Hodnota první fáze</t>
  </si>
  <si>
    <t>Cizí úročený kapitál</t>
  </si>
  <si>
    <t>Hodnota netto</t>
  </si>
  <si>
    <t>Poměr alternativní/realistický scénář</t>
  </si>
  <si>
    <t>Vývoj kurzu CZK/EUR</t>
  </si>
  <si>
    <t>DFCFE</t>
  </si>
  <si>
    <t>DFCFF</t>
  </si>
  <si>
    <t>Vývoj ceny Tepla</t>
  </si>
  <si>
    <t>Hodnota firmy</t>
  </si>
  <si>
    <t>Vývoj cen Elektřiny</t>
  </si>
  <si>
    <t>Vývoj ceny Uhlí</t>
  </si>
  <si>
    <t>Vývoj ceny Dopravy</t>
  </si>
  <si>
    <t>Porovnání změny vývoje cen jednotlivých položek FCF</t>
  </si>
  <si>
    <t>Teplo</t>
  </si>
  <si>
    <t>Elektřina</t>
  </si>
  <si>
    <t>Vypočtená hodnota firmy</t>
  </si>
  <si>
    <t>Vývoj ceny emisních povolenek</t>
  </si>
  <si>
    <t>Vývoj cen povolenek</t>
  </si>
  <si>
    <t>Vývoj cen měnových kurzů</t>
  </si>
  <si>
    <t>CZK/USD</t>
  </si>
  <si>
    <t>CZK/EUR</t>
  </si>
  <si>
    <t>Tempo růstu pokračující hodnoty</t>
  </si>
  <si>
    <t>Tempo růstu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</si>
</sst>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Kč&quot;;[Red]\-#,##0.00\ &quot;Kč&quot;"/>
    <numFmt numFmtId="164" formatCode="#,##0.0"/>
    <numFmt numFmtId="165" formatCode="#,##0.000"/>
    <numFmt numFmtId="166" formatCode="0.000"/>
    <numFmt numFmtId="167" formatCode="#,##0.00_ ;\-#,##0.00\ "/>
    <numFmt numFmtId="168" formatCode="#,##0.0000"/>
    <numFmt numFmtId="169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5" fillId="0" borderId="0" xfId="0" applyFont="1"/>
    <xf numFmtId="3" fontId="0" fillId="0" borderId="0" xfId="0" applyNumberFormat="1"/>
    <xf numFmtId="0" fontId="7" fillId="0" borderId="0" xfId="0" applyFont="1"/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0" fillId="0" borderId="0" xfId="0" applyAlignment="1">
      <alignment wrapText="1"/>
    </xf>
    <xf numFmtId="0" fontId="0" fillId="0" borderId="0" xfId="0" applyAlignment="1"/>
    <xf numFmtId="3" fontId="6" fillId="0" borderId="0" xfId="0" applyNumberFormat="1" applyFont="1"/>
    <xf numFmtId="164" fontId="0" fillId="0" borderId="0" xfId="0" applyNumberFormat="1"/>
    <xf numFmtId="1" fontId="0" fillId="0" borderId="0" xfId="0" applyNumberFormat="1"/>
    <xf numFmtId="4" fontId="0" fillId="0" borderId="0" xfId="0" applyNumberFormat="1"/>
    <xf numFmtId="0" fontId="10" fillId="0" borderId="0" xfId="0" applyFont="1"/>
    <xf numFmtId="0" fontId="4" fillId="0" borderId="0" xfId="0" applyFont="1"/>
    <xf numFmtId="49" fontId="0" fillId="0" borderId="0" xfId="0" applyNumberFormat="1"/>
    <xf numFmtId="0" fontId="3" fillId="0" borderId="0" xfId="0" applyFont="1"/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4" borderId="0" xfId="0" applyFill="1"/>
    <xf numFmtId="3" fontId="0" fillId="4" borderId="0" xfId="0" applyNumberFormat="1" applyFill="1"/>
    <xf numFmtId="0" fontId="1" fillId="0" borderId="0" xfId="0" applyFont="1"/>
    <xf numFmtId="168" fontId="0" fillId="0" borderId="0" xfId="0" applyNumberFormat="1"/>
    <xf numFmtId="8" fontId="0" fillId="0" borderId="0" xfId="0" applyNumberFormat="1"/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0" fillId="0" borderId="0" xfId="1" applyFont="1"/>
    <xf numFmtId="10" fontId="0" fillId="0" borderId="0" xfId="1" applyNumberFormat="1" applyFont="1"/>
    <xf numFmtId="0" fontId="12" fillId="0" borderId="0" xfId="0" applyFont="1"/>
    <xf numFmtId="2" fontId="12" fillId="0" borderId="0" xfId="0" applyNumberFormat="1" applyFont="1"/>
    <xf numFmtId="9" fontId="0" fillId="0" borderId="0" xfId="0" applyNumberFormat="1"/>
    <xf numFmtId="10" fontId="0" fillId="0" borderId="0" xfId="0" applyNumberFormat="1"/>
    <xf numFmtId="169" fontId="0" fillId="0" borderId="0" xfId="0" applyNumberFormat="1"/>
    <xf numFmtId="9" fontId="0" fillId="4" borderId="0" xfId="0" applyNumberFormat="1" applyFill="1"/>
    <xf numFmtId="169" fontId="0" fillId="4" borderId="0" xfId="0" applyNumberForma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'Citlivostní analýzy'!$A$19</c:f>
              <c:strCache>
                <c:ptCount val="1"/>
                <c:pt idx="0">
                  <c:v>Teplo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analýzy'!$B$18:$P$18</c:f>
              <c:numCache>
                <c:formatCode>0.00%</c:formatCode>
                <c:ptCount val="15"/>
                <c:pt idx="0">
                  <c:v>-0.02</c:v>
                </c:pt>
                <c:pt idx="1">
                  <c:v>-1.4999999999999999E-2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1.4999999999999999E-2</c:v>
                </c:pt>
                <c:pt idx="8">
                  <c:v>0.02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3.5000000000000003E-2</c:v>
                </c:pt>
                <c:pt idx="12">
                  <c:v>0.04</c:v>
                </c:pt>
                <c:pt idx="13">
                  <c:v>4.4999999999999998E-2</c:v>
                </c:pt>
                <c:pt idx="14">
                  <c:v>0.05</c:v>
                </c:pt>
              </c:numCache>
            </c:numRef>
          </c:cat>
          <c:val>
            <c:numRef>
              <c:f>'Citlivostní analýzy'!$B$19:$P$19</c:f>
              <c:numCache>
                <c:formatCode>#,##0</c:formatCode>
                <c:ptCount val="15"/>
                <c:pt idx="4">
                  <c:v>-64782.317209071654</c:v>
                </c:pt>
                <c:pt idx="5">
                  <c:v>28679.701764797093</c:v>
                </c:pt>
                <c:pt idx="6">
                  <c:v>125097.8190086945</c:v>
                </c:pt>
                <c:pt idx="7">
                  <c:v>224556.20758234884</c:v>
                </c:pt>
                <c:pt idx="8">
                  <c:v>327141.07246696297</c:v>
                </c:pt>
                <c:pt idx="9">
                  <c:v>432940.69004417304</c:v>
                </c:pt>
                <c:pt idx="10">
                  <c:v>542045.44815101917</c:v>
                </c:pt>
                <c:pt idx="11">
                  <c:v>646029.37495184678</c:v>
                </c:pt>
                <c:pt idx="12">
                  <c:v>770542.73898540565</c:v>
                </c:pt>
                <c:pt idx="13">
                  <c:v>890126.97333489335</c:v>
                </c:pt>
                <c:pt idx="14">
                  <c:v>1013399.8356897864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8A-4B92-B02A-28D9D90A09A9}"/>
            </c:ext>
          </c:extLst>
        </c:ser>
        <c:ser>
          <c:idx val="1"/>
          <c:order val="1"/>
          <c:tx>
            <c:strRef>
              <c:f>'Citlivostní analýzy'!$A$20</c:f>
              <c:strCache>
                <c:ptCount val="1"/>
                <c:pt idx="0">
                  <c:v>Elektřina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analýzy'!$B$18:$P$18</c:f>
              <c:numCache>
                <c:formatCode>0.00%</c:formatCode>
                <c:ptCount val="15"/>
                <c:pt idx="0">
                  <c:v>-0.02</c:v>
                </c:pt>
                <c:pt idx="1">
                  <c:v>-1.4999999999999999E-2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1.4999999999999999E-2</c:v>
                </c:pt>
                <c:pt idx="8">
                  <c:v>0.02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3.5000000000000003E-2</c:v>
                </c:pt>
                <c:pt idx="12">
                  <c:v>0.04</c:v>
                </c:pt>
                <c:pt idx="13">
                  <c:v>4.4999999999999998E-2</c:v>
                </c:pt>
                <c:pt idx="14">
                  <c:v>0.05</c:v>
                </c:pt>
              </c:numCache>
            </c:numRef>
          </c:cat>
          <c:val>
            <c:numRef>
              <c:f>'Citlivostní analýzy'!$B$20:$P$20</c:f>
              <c:numCache>
                <c:formatCode>#,##0</c:formatCode>
                <c:ptCount val="15"/>
                <c:pt idx="0">
                  <c:v>520058.15009061107</c:v>
                </c:pt>
                <c:pt idx="1">
                  <c:v>534571.99022014218</c:v>
                </c:pt>
                <c:pt idx="2">
                  <c:v>549424.57160690427</c:v>
                </c:pt>
                <c:pt idx="3">
                  <c:v>564622.48141510598</c:v>
                </c:pt>
                <c:pt idx="4">
                  <c:v>580172.40414326428</c:v>
                </c:pt>
                <c:pt idx="5">
                  <c:v>596081.12258656195</c:v>
                </c:pt>
                <c:pt idx="6">
                  <c:v>612355.51880396693</c:v>
                </c:pt>
                <c:pt idx="7">
                  <c:v>629002.57509009668</c:v>
                </c:pt>
                <c:pt idx="8">
                  <c:v>646029.37495184678</c:v>
                </c:pt>
                <c:pt idx="9">
                  <c:v>663443.10408976825</c:v>
                </c:pt>
                <c:pt idx="10">
                  <c:v>681251.05138421222</c:v>
                </c:pt>
                <c:pt idx="11">
                  <c:v>699460.60988621251</c:v>
                </c:pt>
                <c:pt idx="12">
                  <c:v>718079.27781314286</c:v>
                </c:pt>
                <c:pt idx="13">
                  <c:v>737114.6595491129</c:v>
                </c:pt>
                <c:pt idx="14">
                  <c:v>756574.46665013453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A-4B92-B02A-28D9D90A09A9}"/>
            </c:ext>
          </c:extLst>
        </c:ser>
        <c:ser>
          <c:idx val="2"/>
          <c:order val="2"/>
          <c:tx>
            <c:strRef>
              <c:f>'Citlivostní analýzy'!$A$21</c:f>
              <c:strCache>
                <c:ptCount val="1"/>
                <c:pt idx="0">
                  <c:v>Uhlí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analýzy'!$B$18:$P$18</c:f>
              <c:numCache>
                <c:formatCode>0.00%</c:formatCode>
                <c:ptCount val="15"/>
                <c:pt idx="0">
                  <c:v>-0.02</c:v>
                </c:pt>
                <c:pt idx="1">
                  <c:v>-1.4999999999999999E-2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1.4999999999999999E-2</c:v>
                </c:pt>
                <c:pt idx="8">
                  <c:v>0.02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3.5000000000000003E-2</c:v>
                </c:pt>
                <c:pt idx="12">
                  <c:v>0.04</c:v>
                </c:pt>
                <c:pt idx="13">
                  <c:v>4.4999999999999998E-2</c:v>
                </c:pt>
                <c:pt idx="14">
                  <c:v>0.05</c:v>
                </c:pt>
              </c:numCache>
            </c:numRef>
          </c:cat>
          <c:val>
            <c:numRef>
              <c:f>'Citlivostní analýzy'!$B$21:$P$21</c:f>
              <c:numCache>
                <c:formatCode>#,##0</c:formatCode>
                <c:ptCount val="15"/>
                <c:pt idx="0">
                  <c:v>729116.78223773721</c:v>
                </c:pt>
                <c:pt idx="1">
                  <c:v>719071.79105804209</c:v>
                </c:pt>
                <c:pt idx="2">
                  <c:v>708930.33256297279</c:v>
                </c:pt>
                <c:pt idx="3">
                  <c:v>698691.93544863956</c:v>
                </c:pt>
                <c:pt idx="4">
                  <c:v>688356.12841115135</c:v>
                </c:pt>
                <c:pt idx="5">
                  <c:v>677922.44014661829</c:v>
                </c:pt>
                <c:pt idx="6">
                  <c:v>667390.39935115003</c:v>
                </c:pt>
                <c:pt idx="7">
                  <c:v>656759.53472085623</c:v>
                </c:pt>
                <c:pt idx="8">
                  <c:v>646029.37495184678</c:v>
                </c:pt>
                <c:pt idx="9">
                  <c:v>635199.44874023087</c:v>
                </c:pt>
                <c:pt idx="10">
                  <c:v>624269.28478211863</c:v>
                </c:pt>
                <c:pt idx="11">
                  <c:v>613238.41177361936</c:v>
                </c:pt>
                <c:pt idx="12">
                  <c:v>602106.3584108433</c:v>
                </c:pt>
                <c:pt idx="13">
                  <c:v>590872.65338989953</c:v>
                </c:pt>
                <c:pt idx="14">
                  <c:v>579536.82540689874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A-4B92-B02A-28D9D90A09A9}"/>
            </c:ext>
          </c:extLst>
        </c:ser>
        <c:ser>
          <c:idx val="3"/>
          <c:order val="3"/>
          <c:tx>
            <c:strRef>
              <c:f>'Citlivostní analýzy'!$A$22</c:f>
              <c:strCache>
                <c:ptCount val="1"/>
                <c:pt idx="0">
                  <c:v>Doprava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analýzy'!$B$18:$P$18</c:f>
              <c:numCache>
                <c:formatCode>0.00%</c:formatCode>
                <c:ptCount val="15"/>
                <c:pt idx="0">
                  <c:v>-0.02</c:v>
                </c:pt>
                <c:pt idx="1">
                  <c:v>-1.4999999999999999E-2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1.4999999999999999E-2</c:v>
                </c:pt>
                <c:pt idx="8">
                  <c:v>0.02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3.5000000000000003E-2</c:v>
                </c:pt>
                <c:pt idx="12">
                  <c:v>0.04</c:v>
                </c:pt>
                <c:pt idx="13">
                  <c:v>4.4999999999999998E-2</c:v>
                </c:pt>
                <c:pt idx="14">
                  <c:v>0.05</c:v>
                </c:pt>
              </c:numCache>
            </c:numRef>
          </c:cat>
          <c:val>
            <c:numRef>
              <c:f>'Citlivostní analýzy'!$B$22:$P$22</c:f>
              <c:numCache>
                <c:formatCode>#,##0</c:formatCode>
                <c:ptCount val="15"/>
                <c:pt idx="4">
                  <c:v>663755.43690673762</c:v>
                </c:pt>
                <c:pt idx="5">
                  <c:v>659582.25242694258</c:v>
                </c:pt>
                <c:pt idx="6">
                  <c:v>655241.10425963183</c:v>
                </c:pt>
                <c:pt idx="7">
                  <c:v>650725.66032685316</c:v>
                </c:pt>
                <c:pt idx="8">
                  <c:v>646029.37495184678</c:v>
                </c:pt>
                <c:pt idx="9">
                  <c:v>641145.48262882535</c:v>
                </c:pt>
                <c:pt idx="10">
                  <c:v>636066.99164088955</c:v>
                </c:pt>
                <c:pt idx="11">
                  <c:v>630786.67752312217</c:v>
                </c:pt>
                <c:pt idx="12">
                  <c:v>625297.07636785472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8A-4B92-B02A-28D9D90A09A9}"/>
            </c:ext>
          </c:extLst>
        </c:ser>
        <c:ser>
          <c:idx val="4"/>
          <c:order val="4"/>
          <c:tx>
            <c:strRef>
              <c:f>'Citlivostní analýzy'!$A$23</c:f>
              <c:strCache>
                <c:ptCount val="1"/>
                <c:pt idx="0">
                  <c:v>Vypočtená hodnota firmy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analýzy'!$B$18:$P$18</c:f>
              <c:numCache>
                <c:formatCode>0.00%</c:formatCode>
                <c:ptCount val="15"/>
                <c:pt idx="0">
                  <c:v>-0.02</c:v>
                </c:pt>
                <c:pt idx="1">
                  <c:v>-1.4999999999999999E-2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1.4999999999999999E-2</c:v>
                </c:pt>
                <c:pt idx="8">
                  <c:v>0.02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3.5000000000000003E-2</c:v>
                </c:pt>
                <c:pt idx="12">
                  <c:v>0.04</c:v>
                </c:pt>
                <c:pt idx="13">
                  <c:v>4.4999999999999998E-2</c:v>
                </c:pt>
                <c:pt idx="14">
                  <c:v>0.05</c:v>
                </c:pt>
              </c:numCache>
            </c:numRef>
          </c:cat>
          <c:val>
            <c:numRef>
              <c:f>'Citlivostní analýzy'!$B$23:$P$23</c:f>
              <c:numCache>
                <c:formatCode>#,##0</c:formatCode>
                <c:ptCount val="15"/>
                <c:pt idx="0">
                  <c:v>646029</c:v>
                </c:pt>
                <c:pt idx="1">
                  <c:v>646029</c:v>
                </c:pt>
                <c:pt idx="2">
                  <c:v>646029</c:v>
                </c:pt>
                <c:pt idx="3">
                  <c:v>646029</c:v>
                </c:pt>
                <c:pt idx="4">
                  <c:v>646029</c:v>
                </c:pt>
                <c:pt idx="5">
                  <c:v>646029</c:v>
                </c:pt>
                <c:pt idx="6">
                  <c:v>646029</c:v>
                </c:pt>
                <c:pt idx="7">
                  <c:v>646029</c:v>
                </c:pt>
                <c:pt idx="8">
                  <c:v>646029</c:v>
                </c:pt>
                <c:pt idx="9">
                  <c:v>646029</c:v>
                </c:pt>
                <c:pt idx="10">
                  <c:v>646029</c:v>
                </c:pt>
                <c:pt idx="11">
                  <c:v>646029</c:v>
                </c:pt>
                <c:pt idx="12">
                  <c:v>646029</c:v>
                </c:pt>
                <c:pt idx="13">
                  <c:v>646029</c:v>
                </c:pt>
                <c:pt idx="14">
                  <c:v>646029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8A-4B92-B02A-28D9D90A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514304"/>
        <c:axId val="580505448"/>
      </c:lineChart>
      <c:catAx>
        <c:axId val="580514304"/>
        <c:scaling>
          <c:orientation val="minMax"/>
        </c:scaling>
        <c:delete val="0"/>
        <c:axPos val="b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0505448"/>
        <c:crosses val="autoZero"/>
        <c:auto val="1"/>
        <c:lblAlgn val="ctr"/>
        <c:lblOffset val="100"/>
        <c:noMultiLvlLbl val="0"/>
      </c:catAx>
      <c:valAx>
        <c:axId val="580505448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051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'Citlivostní analýzy'!$A$27</c:f>
              <c:strCache>
                <c:ptCount val="1"/>
                <c:pt idx="0">
                  <c:v>Emisní povolenky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analýzy'!$B$26:$F$26</c:f>
              <c:numCache>
                <c:formatCode>0%</c:formatCode>
                <c:ptCount val="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</c:numCache>
            </c:numRef>
          </c:cat>
          <c:val>
            <c:numRef>
              <c:f>'Citlivostní analýzy'!$B$27:$F$27</c:f>
              <c:numCache>
                <c:formatCode>General</c:formatCode>
                <c:ptCount val="5"/>
                <c:pt idx="0">
                  <c:v>733298.98287711898</c:v>
                </c:pt>
                <c:pt idx="1">
                  <c:v>646029.37495184678</c:v>
                </c:pt>
                <c:pt idx="2">
                  <c:v>527764.61679618561</c:v>
                </c:pt>
                <c:pt idx="3">
                  <c:v>369079.99543163192</c:v>
                </c:pt>
                <c:pt idx="4">
                  <c:v>158231.3482790991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F-485D-9E3C-14B436577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318856"/>
        <c:axId val="601318528"/>
      </c:lineChart>
      <c:catAx>
        <c:axId val="60131885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1318528"/>
        <c:crosses val="autoZero"/>
        <c:auto val="1"/>
        <c:lblAlgn val="ctr"/>
        <c:lblOffset val="100"/>
        <c:noMultiLvlLbl val="0"/>
      </c:catAx>
      <c:valAx>
        <c:axId val="6013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131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'Citlivostní analýzy'!$A$42</c:f>
              <c:strCache>
                <c:ptCount val="1"/>
                <c:pt idx="0">
                  <c:v>CZK/USD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analýzy'!$B$41:$J$41</c:f>
              <c:numCache>
                <c:formatCode>0.0%</c:formatCode>
                <c:ptCount val="9"/>
                <c:pt idx="0">
                  <c:v>-0.02</c:v>
                </c:pt>
                <c:pt idx="1">
                  <c:v>-1.4999999999999999E-2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1.4999999999999999E-2</c:v>
                </c:pt>
                <c:pt idx="8">
                  <c:v>0.02</c:v>
                </c:pt>
              </c:numCache>
            </c:numRef>
          </c:cat>
          <c:val>
            <c:numRef>
              <c:f>'Citlivostní analýzy'!$B$42:$J$42</c:f>
              <c:numCache>
                <c:formatCode>General</c:formatCode>
                <c:ptCount val="9"/>
                <c:pt idx="0">
                  <c:v>739942.19804167724</c:v>
                </c:pt>
                <c:pt idx="1">
                  <c:v>717272.23447762127</c:v>
                </c:pt>
                <c:pt idx="2">
                  <c:v>694070.37983394926</c:v>
                </c:pt>
                <c:pt idx="3">
                  <c:v>670326.26686466637</c:v>
                </c:pt>
                <c:pt idx="4">
                  <c:v>646029.37495184678</c:v>
                </c:pt>
                <c:pt idx="5">
                  <c:v>621169.02858818322</c:v>
                </c:pt>
                <c:pt idx="6">
                  <c:v>595734.39585203293</c:v>
                </c:pt>
                <c:pt idx="7">
                  <c:v>569714.48687496304</c:v>
                </c:pt>
                <c:pt idx="8">
                  <c:v>543098.15230178973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46-4B0D-AEE3-5A26EF9C356B}"/>
            </c:ext>
          </c:extLst>
        </c:ser>
        <c:ser>
          <c:idx val="1"/>
          <c:order val="1"/>
          <c:tx>
            <c:strRef>
              <c:f>'Citlivostní analýzy'!$A$43</c:f>
              <c:strCache>
                <c:ptCount val="1"/>
                <c:pt idx="0">
                  <c:v>CZK/EUR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analýzy'!$B$41:$J$41</c:f>
              <c:numCache>
                <c:formatCode>0.0%</c:formatCode>
                <c:ptCount val="9"/>
                <c:pt idx="0">
                  <c:v>-0.02</c:v>
                </c:pt>
                <c:pt idx="1">
                  <c:v>-1.4999999999999999E-2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1.4999999999999999E-2</c:v>
                </c:pt>
                <c:pt idx="8">
                  <c:v>0.02</c:v>
                </c:pt>
              </c:numCache>
            </c:numRef>
          </c:cat>
          <c:val>
            <c:numRef>
              <c:f>'Citlivostní analýzy'!$B$43:$J$43</c:f>
              <c:numCache>
                <c:formatCode>General</c:formatCode>
                <c:ptCount val="9"/>
                <c:pt idx="0">
                  <c:v>610729.75916311191</c:v>
                </c:pt>
                <c:pt idx="1">
                  <c:v>622177.12608301302</c:v>
                </c:pt>
                <c:pt idx="2">
                  <c:v>633941.11008779076</c:v>
                </c:pt>
                <c:pt idx="3">
                  <c:v>646029.37495184678</c:v>
                </c:pt>
                <c:pt idx="4">
                  <c:v>658449.73530147807</c:v>
                </c:pt>
                <c:pt idx="5">
                  <c:v>671210.1588538998</c:v>
                </c:pt>
                <c:pt idx="6">
                  <c:v>684318.76867843862</c:v>
                </c:pt>
                <c:pt idx="7">
                  <c:v>697783.8454799999</c:v>
                </c:pt>
                <c:pt idx="8">
                  <c:v>711613.82990493509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6-4B0D-AEE3-5A26EF9C3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72528"/>
        <c:axId val="521577448"/>
      </c:lineChart>
      <c:catAx>
        <c:axId val="521572528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577448"/>
        <c:crosses val="autoZero"/>
        <c:auto val="1"/>
        <c:lblAlgn val="ctr"/>
        <c:lblOffset val="100"/>
        <c:noMultiLvlLbl val="0"/>
      </c:catAx>
      <c:valAx>
        <c:axId val="521577448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57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'Citlivostní analýzy'!$A$54</c:f>
              <c:strCache>
                <c:ptCount val="1"/>
                <c:pt idx="0">
                  <c:v>Tempo růstu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'Citlivostní analýzy'!$B$53:$J$53</c:f>
              <c:numCache>
                <c:formatCode>0.00%</c:formatCode>
                <c:ptCount val="9"/>
                <c:pt idx="0" formatCode="0%">
                  <c:v>-0.03</c:v>
                </c:pt>
                <c:pt idx="1">
                  <c:v>-2.5000000000000001E-2</c:v>
                </c:pt>
                <c:pt idx="2" formatCode="0%">
                  <c:v>-0.02</c:v>
                </c:pt>
                <c:pt idx="3">
                  <c:v>-1.4999999999999999E-2</c:v>
                </c:pt>
                <c:pt idx="4" formatCode="0%">
                  <c:v>-0.01</c:v>
                </c:pt>
                <c:pt idx="5">
                  <c:v>-5.0000000000000001E-3</c:v>
                </c:pt>
                <c:pt idx="6" formatCode="0%">
                  <c:v>0</c:v>
                </c:pt>
                <c:pt idx="7">
                  <c:v>5.0000000000000001E-3</c:v>
                </c:pt>
                <c:pt idx="8" formatCode="0%">
                  <c:v>0.01</c:v>
                </c:pt>
              </c:numCache>
            </c:numRef>
          </c:cat>
          <c:val>
            <c:numRef>
              <c:f>'Citlivostní analýzy'!$B$54:$J$54</c:f>
              <c:numCache>
                <c:formatCode>General</c:formatCode>
                <c:ptCount val="9"/>
                <c:pt idx="0">
                  <c:v>550484.7048114643</c:v>
                </c:pt>
                <c:pt idx="1">
                  <c:v>570403.07043043105</c:v>
                </c:pt>
                <c:pt idx="2">
                  <c:v>592656.53166709607</c:v>
                </c:pt>
                <c:pt idx="3">
                  <c:v>617681.2832196597</c:v>
                </c:pt>
                <c:pt idx="4">
                  <c:v>646029.37495184678</c:v>
                </c:pt>
                <c:pt idx="5">
                  <c:v>678409.91216514097</c:v>
                </c:pt>
                <c:pt idx="6">
                  <c:v>715749.18402059446</c:v>
                </c:pt>
                <c:pt idx="7">
                  <c:v>759280.70659834496</c:v>
                </c:pt>
                <c:pt idx="8">
                  <c:v>810684.11390986596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5-4412-9968-142A6BA91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241680"/>
        <c:axId val="587244960"/>
      </c:lineChart>
      <c:catAx>
        <c:axId val="58724168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244960"/>
        <c:crosses val="autoZero"/>
        <c:auto val="1"/>
        <c:lblAlgn val="ctr"/>
        <c:lblOffset val="100"/>
        <c:noMultiLvlLbl val="0"/>
      </c:catAx>
      <c:valAx>
        <c:axId val="587244960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24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8</xdr:row>
      <xdr:rowOff>142875</xdr:rowOff>
    </xdr:from>
    <xdr:to>
      <xdr:col>24</xdr:col>
      <xdr:colOff>28575</xdr:colOff>
      <xdr:row>23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95ECA6C-01DB-41CE-93BE-994A4D018F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291353</xdr:colOff>
      <xdr:row>24</xdr:row>
      <xdr:rowOff>51547</xdr:rowOff>
    </xdr:from>
    <xdr:to>
      <xdr:col>14</xdr:col>
      <xdr:colOff>22412</xdr:colOff>
      <xdr:row>38</xdr:row>
      <xdr:rowOff>127747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BC3F5A9-21DD-4A05-806E-2EBFE9071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582706</xdr:colOff>
      <xdr:row>33</xdr:row>
      <xdr:rowOff>141195</xdr:rowOff>
    </xdr:from>
    <xdr:to>
      <xdr:col>22</xdr:col>
      <xdr:colOff>313765</xdr:colOff>
      <xdr:row>48</xdr:row>
      <xdr:rowOff>26895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C96B2AE-ECFF-467F-B8AD-98EDB156D2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156882</xdr:colOff>
      <xdr:row>49</xdr:row>
      <xdr:rowOff>29136</xdr:rowOff>
    </xdr:from>
    <xdr:to>
      <xdr:col>17</xdr:col>
      <xdr:colOff>493059</xdr:colOff>
      <xdr:row>63</xdr:row>
      <xdr:rowOff>105336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3945217-39EE-4FF9-873F-62CBC6A25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B10" workbookViewId="0">
      <selection activeCell="L17" sqref="L17"/>
    </sheetView>
  </sheetViews>
  <sheetFormatPr defaultRowHeight="15" x14ac:dyDescent="0.25"/>
  <cols>
    <col min="1" max="1" width="19.42578125" customWidth="1"/>
    <col min="2" max="2" width="8.85546875" bestFit="1" customWidth="1"/>
    <col min="3" max="3" width="5.7109375" bestFit="1" customWidth="1"/>
    <col min="7" max="7" width="26.85546875" bestFit="1" customWidth="1"/>
  </cols>
  <sheetData>
    <row r="1" spans="1:9" ht="18.75" x14ac:dyDescent="0.3">
      <c r="A1" s="15" t="s">
        <v>146</v>
      </c>
    </row>
    <row r="3" spans="1:9" x14ac:dyDescent="0.25">
      <c r="A3" t="s">
        <v>147</v>
      </c>
      <c r="G3" t="s">
        <v>166</v>
      </c>
    </row>
    <row r="5" spans="1:9" x14ac:dyDescent="0.25">
      <c r="A5" t="s">
        <v>148</v>
      </c>
      <c r="G5" t="s">
        <v>167</v>
      </c>
      <c r="H5" s="3">
        <f>+Parmetry!G9</f>
        <v>508014</v>
      </c>
      <c r="I5" t="s">
        <v>64</v>
      </c>
    </row>
    <row r="6" spans="1:9" x14ac:dyDescent="0.25">
      <c r="A6" t="s">
        <v>149</v>
      </c>
      <c r="B6" s="3">
        <v>120311</v>
      </c>
      <c r="C6" t="s">
        <v>119</v>
      </c>
      <c r="G6" t="s">
        <v>168</v>
      </c>
      <c r="H6" s="3">
        <f>+Parmetry!G16</f>
        <v>83641</v>
      </c>
      <c r="I6" t="s">
        <v>66</v>
      </c>
    </row>
    <row r="7" spans="1:9" x14ac:dyDescent="0.25">
      <c r="A7" t="s">
        <v>150</v>
      </c>
      <c r="B7" s="3">
        <v>423</v>
      </c>
      <c r="C7" t="s">
        <v>119</v>
      </c>
      <c r="H7" s="3"/>
    </row>
    <row r="8" spans="1:9" x14ac:dyDescent="0.25">
      <c r="A8" t="s">
        <v>151</v>
      </c>
      <c r="B8" s="3">
        <v>1679</v>
      </c>
      <c r="C8" t="s">
        <v>119</v>
      </c>
      <c r="G8" t="s">
        <v>169</v>
      </c>
      <c r="H8" s="3"/>
    </row>
    <row r="9" spans="1:9" x14ac:dyDescent="0.25">
      <c r="A9" t="s">
        <v>111</v>
      </c>
      <c r="B9" s="3">
        <v>15</v>
      </c>
      <c r="C9" t="s">
        <v>119</v>
      </c>
      <c r="G9" t="s">
        <v>170</v>
      </c>
      <c r="H9" s="3">
        <v>12</v>
      </c>
      <c r="I9" t="s">
        <v>119</v>
      </c>
    </row>
    <row r="10" spans="1:9" x14ac:dyDescent="0.25">
      <c r="B10" s="3"/>
      <c r="G10" t="s">
        <v>171</v>
      </c>
      <c r="H10" s="3">
        <v>1252</v>
      </c>
      <c r="I10" t="s">
        <v>119</v>
      </c>
    </row>
    <row r="11" spans="1:9" x14ac:dyDescent="0.25">
      <c r="A11" t="s">
        <v>152</v>
      </c>
      <c r="B11" s="3">
        <v>4426059</v>
      </c>
      <c r="C11" t="s">
        <v>127</v>
      </c>
      <c r="G11" t="s">
        <v>172</v>
      </c>
      <c r="H11" s="3">
        <v>295</v>
      </c>
      <c r="I11" t="s">
        <v>119</v>
      </c>
    </row>
    <row r="12" spans="1:9" x14ac:dyDescent="0.25">
      <c r="A12" t="s">
        <v>164</v>
      </c>
      <c r="B12" s="3">
        <v>5722</v>
      </c>
      <c r="C12" t="s">
        <v>127</v>
      </c>
      <c r="G12" t="s">
        <v>173</v>
      </c>
      <c r="H12" s="3">
        <v>99</v>
      </c>
      <c r="I12" t="s">
        <v>119</v>
      </c>
    </row>
    <row r="13" spans="1:9" x14ac:dyDescent="0.25">
      <c r="B13" s="3"/>
      <c r="H13" s="3"/>
    </row>
    <row r="14" spans="1:9" x14ac:dyDescent="0.25">
      <c r="A14" t="s">
        <v>153</v>
      </c>
      <c r="B14" s="3"/>
      <c r="G14" t="s">
        <v>174</v>
      </c>
      <c r="H14" s="3"/>
    </row>
    <row r="15" spans="1:9" x14ac:dyDescent="0.25">
      <c r="A15" t="s">
        <v>154</v>
      </c>
      <c r="B15" s="3">
        <v>4910</v>
      </c>
      <c r="C15" t="s">
        <v>119</v>
      </c>
      <c r="G15" t="s">
        <v>175</v>
      </c>
      <c r="H15" s="3">
        <v>22829</v>
      </c>
      <c r="I15" t="s">
        <v>119</v>
      </c>
    </row>
    <row r="16" spans="1:9" x14ac:dyDescent="0.25">
      <c r="A16" t="s">
        <v>155</v>
      </c>
      <c r="B16" s="3">
        <v>16</v>
      </c>
      <c r="C16" t="s">
        <v>119</v>
      </c>
      <c r="G16" t="s">
        <v>176</v>
      </c>
      <c r="H16" s="3">
        <v>4573</v>
      </c>
      <c r="I16" t="s">
        <v>119</v>
      </c>
    </row>
    <row r="17" spans="1:9" x14ac:dyDescent="0.25">
      <c r="A17" t="s">
        <v>156</v>
      </c>
      <c r="B17" s="3">
        <v>57</v>
      </c>
      <c r="C17" t="s">
        <v>119</v>
      </c>
      <c r="G17" t="s">
        <v>177</v>
      </c>
      <c r="H17" s="3">
        <v>7380</v>
      </c>
      <c r="I17" t="s">
        <v>119</v>
      </c>
    </row>
    <row r="18" spans="1:9" x14ac:dyDescent="0.25">
      <c r="A18" t="s">
        <v>157</v>
      </c>
      <c r="B18" s="3">
        <v>45</v>
      </c>
      <c r="C18" t="s">
        <v>119</v>
      </c>
      <c r="H18" s="3"/>
    </row>
    <row r="19" spans="1:9" x14ac:dyDescent="0.25">
      <c r="A19" t="s">
        <v>158</v>
      </c>
      <c r="B19" s="3">
        <f>15.5/1000</f>
        <v>1.55E-2</v>
      </c>
      <c r="C19" t="s">
        <v>119</v>
      </c>
      <c r="G19" t="s">
        <v>178</v>
      </c>
      <c r="H19" s="3"/>
    </row>
    <row r="20" spans="1:9" x14ac:dyDescent="0.25">
      <c r="A20" t="s">
        <v>159</v>
      </c>
      <c r="B20" s="3">
        <v>21</v>
      </c>
      <c r="C20" t="s">
        <v>119</v>
      </c>
      <c r="G20" t="s">
        <v>179</v>
      </c>
      <c r="H20" s="3">
        <v>3</v>
      </c>
      <c r="I20" t="s">
        <v>119</v>
      </c>
    </row>
    <row r="21" spans="1:9" x14ac:dyDescent="0.25">
      <c r="A21" t="s">
        <v>160</v>
      </c>
      <c r="B21" s="3">
        <v>0</v>
      </c>
      <c r="C21" t="s">
        <v>119</v>
      </c>
      <c r="G21" t="s">
        <v>180</v>
      </c>
      <c r="H21" s="3">
        <v>64</v>
      </c>
      <c r="I21" t="s">
        <v>119</v>
      </c>
    </row>
    <row r="22" spans="1:9" x14ac:dyDescent="0.25">
      <c r="A22" t="s">
        <v>161</v>
      </c>
      <c r="B22" s="3">
        <v>0.125</v>
      </c>
      <c r="C22" t="s">
        <v>119</v>
      </c>
      <c r="G22" t="s">
        <v>181</v>
      </c>
      <c r="H22" s="3">
        <v>47</v>
      </c>
      <c r="I22" t="s">
        <v>119</v>
      </c>
    </row>
    <row r="23" spans="1:9" x14ac:dyDescent="0.25">
      <c r="A23" t="s">
        <v>162</v>
      </c>
      <c r="B23" s="3">
        <v>0.17499999999999999</v>
      </c>
      <c r="C23" t="s">
        <v>119</v>
      </c>
      <c r="G23" t="s">
        <v>182</v>
      </c>
      <c r="H23" s="3">
        <v>74</v>
      </c>
      <c r="I23" t="s">
        <v>140</v>
      </c>
    </row>
    <row r="24" spans="1:9" x14ac:dyDescent="0.25">
      <c r="A24" t="s">
        <v>163</v>
      </c>
      <c r="B24" s="3">
        <v>100</v>
      </c>
      <c r="C24" t="s">
        <v>140</v>
      </c>
      <c r="G24" t="s">
        <v>183</v>
      </c>
      <c r="H24" s="3">
        <v>80</v>
      </c>
      <c r="I24" t="s">
        <v>119</v>
      </c>
    </row>
    <row r="25" spans="1:9" x14ac:dyDescent="0.25">
      <c r="B25" s="3"/>
    </row>
    <row r="26" spans="1:9" x14ac:dyDescent="0.25">
      <c r="A26" t="s">
        <v>165</v>
      </c>
      <c r="B26" s="3">
        <v>20402</v>
      </c>
      <c r="C26" t="s">
        <v>66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F26" sqref="F26"/>
    </sheetView>
  </sheetViews>
  <sheetFormatPr defaultRowHeight="15" x14ac:dyDescent="0.25"/>
  <cols>
    <col min="2" max="2" width="2" bestFit="1" customWidth="1"/>
    <col min="3" max="3" width="35.28515625" bestFit="1" customWidth="1"/>
    <col min="5" max="5" width="2.140625" bestFit="1" customWidth="1"/>
    <col min="9" max="9" width="19.85546875" customWidth="1"/>
  </cols>
  <sheetData>
    <row r="1" spans="1:7" x14ac:dyDescent="0.25">
      <c r="A1" t="s">
        <v>29</v>
      </c>
    </row>
    <row r="3" spans="1:7" s="1" customFormat="1" x14ac:dyDescent="0.25">
      <c r="C3" s="1" t="s">
        <v>0</v>
      </c>
      <c r="D3" s="2" t="s">
        <v>2</v>
      </c>
    </row>
    <row r="4" spans="1:7" x14ac:dyDescent="0.25">
      <c r="A4" t="s">
        <v>6</v>
      </c>
      <c r="B4" t="s">
        <v>4</v>
      </c>
      <c r="C4" t="s">
        <v>1</v>
      </c>
      <c r="D4" s="3">
        <v>365444</v>
      </c>
    </row>
    <row r="5" spans="1:7" x14ac:dyDescent="0.25">
      <c r="A5" s="7" t="s">
        <v>7</v>
      </c>
      <c r="B5" s="7" t="s">
        <v>5</v>
      </c>
      <c r="C5" s="7" t="s">
        <v>3</v>
      </c>
      <c r="D5" s="8">
        <v>-219133</v>
      </c>
    </row>
    <row r="6" spans="1:7" x14ac:dyDescent="0.25">
      <c r="A6" s="5" t="s">
        <v>9</v>
      </c>
      <c r="B6" s="5" t="s">
        <v>5</v>
      </c>
      <c r="C6" s="5" t="s">
        <v>8</v>
      </c>
      <c r="D6" s="6">
        <v>-179316</v>
      </c>
    </row>
    <row r="7" spans="1:7" x14ac:dyDescent="0.25">
      <c r="A7" s="5" t="s">
        <v>10</v>
      </c>
      <c r="B7" s="5" t="s">
        <v>5</v>
      </c>
      <c r="C7" s="5" t="s">
        <v>11</v>
      </c>
      <c r="D7" s="6">
        <v>-39817</v>
      </c>
      <c r="E7" s="4" t="s">
        <v>12</v>
      </c>
      <c r="F7" s="3">
        <f>+D6+D7</f>
        <v>-219133</v>
      </c>
      <c r="G7" t="s">
        <v>13</v>
      </c>
    </row>
    <row r="8" spans="1:7" x14ac:dyDescent="0.25">
      <c r="A8" s="7"/>
      <c r="B8" s="7"/>
      <c r="C8" s="7" t="s">
        <v>14</v>
      </c>
      <c r="D8" s="8">
        <f>+D4+D5</f>
        <v>146311</v>
      </c>
    </row>
    <row r="9" spans="1:7" x14ac:dyDescent="0.25">
      <c r="A9" t="s">
        <v>15</v>
      </c>
      <c r="B9" t="s">
        <v>5</v>
      </c>
      <c r="C9" t="s">
        <v>16</v>
      </c>
      <c r="D9" s="3">
        <v>-82829</v>
      </c>
    </row>
    <row r="10" spans="1:7" x14ac:dyDescent="0.25">
      <c r="A10" t="s">
        <v>17</v>
      </c>
      <c r="B10" t="s">
        <v>5</v>
      </c>
      <c r="C10" t="s">
        <v>18</v>
      </c>
      <c r="D10" s="3">
        <v>-48636</v>
      </c>
    </row>
    <row r="11" spans="1:7" x14ac:dyDescent="0.25">
      <c r="A11" t="s">
        <v>19</v>
      </c>
      <c r="B11" t="s">
        <v>4</v>
      </c>
      <c r="C11" t="s">
        <v>20</v>
      </c>
      <c r="D11" s="3">
        <v>30449</v>
      </c>
    </row>
    <row r="12" spans="1:7" x14ac:dyDescent="0.25">
      <c r="A12" t="s">
        <v>21</v>
      </c>
      <c r="B12" t="s">
        <v>5</v>
      </c>
      <c r="C12" t="s">
        <v>22</v>
      </c>
      <c r="D12" s="3">
        <v>-39083</v>
      </c>
    </row>
    <row r="13" spans="1:7" x14ac:dyDescent="0.25">
      <c r="C13" t="s">
        <v>23</v>
      </c>
      <c r="D13" s="3">
        <f>+SUM(D4,D5,D9:D12)</f>
        <v>6212</v>
      </c>
    </row>
    <row r="14" spans="1:7" x14ac:dyDescent="0.25">
      <c r="A14" t="s">
        <v>24</v>
      </c>
      <c r="B14" t="s">
        <v>5</v>
      </c>
      <c r="C14" t="s">
        <v>25</v>
      </c>
      <c r="D14" s="3">
        <v>-1916</v>
      </c>
    </row>
    <row r="15" spans="1:7" x14ac:dyDescent="0.25">
      <c r="C15" t="s">
        <v>26</v>
      </c>
      <c r="D15" s="3">
        <f>+D13+D14</f>
        <v>4296</v>
      </c>
    </row>
    <row r="16" spans="1:7" x14ac:dyDescent="0.25">
      <c r="C16" t="s">
        <v>27</v>
      </c>
      <c r="D16" s="3">
        <f>-(D15*0.19)</f>
        <v>-816.24</v>
      </c>
    </row>
    <row r="17" spans="1:10" x14ac:dyDescent="0.25">
      <c r="C17" t="s">
        <v>28</v>
      </c>
      <c r="D17" s="3">
        <f>+D15+D16</f>
        <v>3479.76</v>
      </c>
    </row>
    <row r="19" spans="1:10" x14ac:dyDescent="0.25">
      <c r="C19" s="1" t="s">
        <v>30</v>
      </c>
      <c r="D19" s="2" t="s">
        <v>2</v>
      </c>
    </row>
    <row r="20" spans="1:10" x14ac:dyDescent="0.25">
      <c r="A20" t="s">
        <v>40</v>
      </c>
      <c r="C20" s="2" t="s">
        <v>39</v>
      </c>
      <c r="D20" s="3">
        <v>82973</v>
      </c>
      <c r="F20" s="3"/>
    </row>
    <row r="21" spans="1:10" x14ac:dyDescent="0.25">
      <c r="A21" s="2" t="s">
        <v>31</v>
      </c>
      <c r="C21" t="s">
        <v>32</v>
      </c>
      <c r="D21" s="3">
        <f>+D15</f>
        <v>4296</v>
      </c>
      <c r="F21" s="3">
        <v>2939</v>
      </c>
    </row>
    <row r="22" spans="1:10" x14ac:dyDescent="0.25">
      <c r="A22" t="s">
        <v>33</v>
      </c>
      <c r="C22" t="s">
        <v>34</v>
      </c>
      <c r="D22" s="3">
        <f>-(D23+D24)</f>
        <v>50552</v>
      </c>
      <c r="F22" s="3">
        <f>-(F23+F24)</f>
        <v>46073</v>
      </c>
      <c r="J22" t="s">
        <v>43</v>
      </c>
    </row>
    <row r="23" spans="1:10" x14ac:dyDescent="0.25">
      <c r="A23" t="s">
        <v>35</v>
      </c>
      <c r="C23" t="s">
        <v>36</v>
      </c>
      <c r="D23" s="3">
        <f>+D10</f>
        <v>-48636</v>
      </c>
      <c r="F23" s="3">
        <v>-43063</v>
      </c>
      <c r="J23" t="s">
        <v>44</v>
      </c>
    </row>
    <row r="24" spans="1:10" x14ac:dyDescent="0.25">
      <c r="A24" t="s">
        <v>37</v>
      </c>
      <c r="C24" t="s">
        <v>38</v>
      </c>
      <c r="D24" s="3">
        <f>+D14</f>
        <v>-1916</v>
      </c>
      <c r="F24" s="3">
        <v>-3010</v>
      </c>
    </row>
    <row r="25" spans="1:10" ht="45" x14ac:dyDescent="0.25">
      <c r="A25" t="s">
        <v>42</v>
      </c>
      <c r="C25" s="9" t="s">
        <v>41</v>
      </c>
      <c r="D25" s="3">
        <f>+D21+D22</f>
        <v>54848</v>
      </c>
      <c r="F25" s="3">
        <f>+F22+F21</f>
        <v>49012</v>
      </c>
    </row>
    <row r="26" spans="1:10" ht="45" x14ac:dyDescent="0.25">
      <c r="A26" t="s">
        <v>45</v>
      </c>
      <c r="C26" s="9" t="s">
        <v>46</v>
      </c>
      <c r="D26" s="3">
        <f>+D25</f>
        <v>54848</v>
      </c>
      <c r="F26" s="3"/>
    </row>
    <row r="27" spans="1:10" x14ac:dyDescent="0.25">
      <c r="A27" t="s">
        <v>47</v>
      </c>
      <c r="C27" t="s">
        <v>48</v>
      </c>
      <c r="D27" s="3">
        <f>+D24</f>
        <v>-1916</v>
      </c>
      <c r="F27" s="3"/>
    </row>
    <row r="28" spans="1:10" x14ac:dyDescent="0.25">
      <c r="A28" t="s">
        <v>49</v>
      </c>
      <c r="C28" t="s">
        <v>50</v>
      </c>
      <c r="D28" s="3">
        <v>2541</v>
      </c>
      <c r="F28" s="3"/>
    </row>
    <row r="29" spans="1:10" x14ac:dyDescent="0.25">
      <c r="A29" t="s">
        <v>51</v>
      </c>
      <c r="C29" t="s">
        <v>52</v>
      </c>
      <c r="D29" s="3">
        <f>+D26+D27+D28</f>
        <v>55473</v>
      </c>
      <c r="F29" s="3"/>
    </row>
    <row r="30" spans="1:10" x14ac:dyDescent="0.25">
      <c r="A30" t="s">
        <v>9</v>
      </c>
      <c r="C30" t="s">
        <v>53</v>
      </c>
      <c r="D30" s="3">
        <v>0</v>
      </c>
      <c r="F30" s="3"/>
      <c r="J30" t="s">
        <v>54</v>
      </c>
    </row>
    <row r="31" spans="1:10" ht="30" x14ac:dyDescent="0.25">
      <c r="A31" t="s">
        <v>57</v>
      </c>
      <c r="C31" s="9" t="s">
        <v>58</v>
      </c>
      <c r="D31" s="3">
        <f>+D30</f>
        <v>0</v>
      </c>
      <c r="F31" s="3"/>
    </row>
    <row r="32" spans="1:10" ht="30" x14ac:dyDescent="0.25">
      <c r="A32" t="s">
        <v>55</v>
      </c>
      <c r="C32" s="9" t="s">
        <v>56</v>
      </c>
      <c r="D32" s="3">
        <v>-30000</v>
      </c>
      <c r="F32" s="3"/>
    </row>
    <row r="33" spans="1:6" ht="30" x14ac:dyDescent="0.25">
      <c r="A33" t="s">
        <v>59</v>
      </c>
      <c r="C33" s="9" t="s">
        <v>60</v>
      </c>
      <c r="D33" s="3">
        <f>+D32</f>
        <v>-30000</v>
      </c>
      <c r="F33" s="3"/>
    </row>
    <row r="34" spans="1:6" x14ac:dyDescent="0.25">
      <c r="A34" t="s">
        <v>61</v>
      </c>
      <c r="C34" s="10" t="s">
        <v>62</v>
      </c>
      <c r="D34" s="3">
        <f>+D33+D31+D26</f>
        <v>24848</v>
      </c>
      <c r="F34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C16" sqref="C16"/>
    </sheetView>
  </sheetViews>
  <sheetFormatPr defaultRowHeight="15" x14ac:dyDescent="0.25"/>
  <cols>
    <col min="1" max="1" width="31.85546875" bestFit="1" customWidth="1"/>
    <col min="3" max="5" width="9.85546875" bestFit="1" customWidth="1"/>
    <col min="6" max="8" width="9" bestFit="1" customWidth="1"/>
    <col min="10" max="10" width="17" bestFit="1" customWidth="1"/>
  </cols>
  <sheetData>
    <row r="1" spans="1:8" x14ac:dyDescent="0.25">
      <c r="A1" s="1" t="s">
        <v>67</v>
      </c>
    </row>
    <row r="2" spans="1:8" x14ac:dyDescent="0.25">
      <c r="A2" s="1"/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</row>
    <row r="3" spans="1:8" x14ac:dyDescent="0.25">
      <c r="A3" s="1" t="s">
        <v>68</v>
      </c>
      <c r="B3" s="11">
        <v>457457</v>
      </c>
      <c r="C3" s="11">
        <v>404963</v>
      </c>
      <c r="D3" s="11">
        <v>369138</v>
      </c>
      <c r="E3" s="11">
        <v>355542</v>
      </c>
      <c r="F3" s="11">
        <v>308183</v>
      </c>
      <c r="G3" s="11">
        <v>280369</v>
      </c>
      <c r="H3" s="11">
        <v>280208</v>
      </c>
    </row>
    <row r="4" spans="1:8" x14ac:dyDescent="0.25">
      <c r="A4" t="s">
        <v>69</v>
      </c>
      <c r="B4" s="3">
        <v>51325</v>
      </c>
      <c r="C4" s="3">
        <v>39766</v>
      </c>
      <c r="D4" s="3">
        <v>27790</v>
      </c>
      <c r="E4" s="3">
        <v>21554</v>
      </c>
      <c r="F4" s="3">
        <v>17589</v>
      </c>
      <c r="G4" s="3">
        <v>16539</v>
      </c>
      <c r="H4" s="3">
        <v>16487</v>
      </c>
    </row>
    <row r="5" spans="1:8" x14ac:dyDescent="0.25">
      <c r="A5" t="s">
        <v>70</v>
      </c>
      <c r="B5" s="3">
        <v>424132</v>
      </c>
      <c r="C5" s="3">
        <v>365197</v>
      </c>
      <c r="D5" s="3">
        <v>341348</v>
      </c>
      <c r="E5" s="3">
        <v>333988</v>
      </c>
      <c r="F5" s="3">
        <v>290594</v>
      </c>
      <c r="G5" s="3">
        <v>263830</v>
      </c>
      <c r="H5" s="3">
        <v>263721</v>
      </c>
    </row>
    <row r="6" spans="1:8" x14ac:dyDescent="0.25">
      <c r="A6" s="1" t="s">
        <v>71</v>
      </c>
      <c r="B6" s="11">
        <v>272741</v>
      </c>
      <c r="C6" s="11">
        <v>240473</v>
      </c>
      <c r="D6" s="11">
        <v>258312</v>
      </c>
      <c r="E6" s="11">
        <v>383446</v>
      </c>
      <c r="F6" s="11">
        <v>234505</v>
      </c>
      <c r="G6" s="11">
        <v>227645</v>
      </c>
      <c r="H6" s="11">
        <v>249536</v>
      </c>
    </row>
    <row r="7" spans="1:8" x14ac:dyDescent="0.25">
      <c r="A7" t="s">
        <v>69</v>
      </c>
      <c r="B7" s="3">
        <v>232642</v>
      </c>
      <c r="C7" s="3">
        <v>199956</v>
      </c>
      <c r="D7" s="3">
        <v>207826</v>
      </c>
      <c r="E7" s="3">
        <v>223293</v>
      </c>
      <c r="F7" s="3">
        <v>186328</v>
      </c>
      <c r="G7" s="3">
        <v>178221</v>
      </c>
      <c r="H7" s="3">
        <v>192269</v>
      </c>
    </row>
    <row r="8" spans="1:8" x14ac:dyDescent="0.25">
      <c r="A8" t="s">
        <v>70</v>
      </c>
      <c r="B8" s="3">
        <v>40099</v>
      </c>
      <c r="C8" s="3">
        <v>40517</v>
      </c>
      <c r="D8" s="3">
        <v>50486</v>
      </c>
      <c r="E8" s="3">
        <v>60153</v>
      </c>
      <c r="F8" s="3">
        <v>48180</v>
      </c>
      <c r="G8" s="3">
        <v>49424</v>
      </c>
      <c r="H8" s="3">
        <v>57267</v>
      </c>
    </row>
    <row r="9" spans="1:8" x14ac:dyDescent="0.25">
      <c r="A9" s="1" t="s">
        <v>72</v>
      </c>
      <c r="B9" s="11">
        <v>748198</v>
      </c>
      <c r="C9" s="11">
        <v>645436</v>
      </c>
      <c r="D9" s="11">
        <v>627450</v>
      </c>
      <c r="E9" s="11">
        <v>638988</v>
      </c>
      <c r="F9" s="11">
        <v>542691</v>
      </c>
      <c r="G9" s="11">
        <v>508014</v>
      </c>
      <c r="H9" s="11">
        <v>529744</v>
      </c>
    </row>
    <row r="11" spans="1:8" x14ac:dyDescent="0.25">
      <c r="A11" s="1" t="s">
        <v>73</v>
      </c>
    </row>
    <row r="12" spans="1:8" x14ac:dyDescent="0.25">
      <c r="A12" s="1"/>
      <c r="B12">
        <v>2010</v>
      </c>
      <c r="C12">
        <v>2011</v>
      </c>
      <c r="D12">
        <v>2012</v>
      </c>
      <c r="E12">
        <v>2013</v>
      </c>
      <c r="F12">
        <v>2014</v>
      </c>
      <c r="G12">
        <v>2015</v>
      </c>
      <c r="H12">
        <v>2016</v>
      </c>
    </row>
    <row r="13" spans="1:8" x14ac:dyDescent="0.25">
      <c r="A13" t="s">
        <v>74</v>
      </c>
      <c r="B13" s="3">
        <v>115062</v>
      </c>
      <c r="C13" s="3">
        <v>100484</v>
      </c>
      <c r="D13" s="3">
        <v>97209</v>
      </c>
      <c r="E13" s="3">
        <v>98418</v>
      </c>
      <c r="F13" s="3">
        <v>73298</v>
      </c>
      <c r="G13" s="3">
        <v>104135</v>
      </c>
      <c r="H13" s="3">
        <v>44739</v>
      </c>
    </row>
    <row r="14" spans="1:8" x14ac:dyDescent="0.25">
      <c r="A14" s="2" t="s">
        <v>75</v>
      </c>
      <c r="B14" s="3">
        <v>70980</v>
      </c>
      <c r="C14" s="3">
        <v>64123</v>
      </c>
      <c r="D14" s="3">
        <v>63718</v>
      </c>
      <c r="E14" s="3">
        <v>65397</v>
      </c>
      <c r="F14" s="3">
        <v>59552</v>
      </c>
      <c r="G14" s="3">
        <v>70199</v>
      </c>
      <c r="H14" s="3">
        <v>6088</v>
      </c>
    </row>
    <row r="15" spans="1:8" x14ac:dyDescent="0.25">
      <c r="A15" t="s">
        <v>76</v>
      </c>
      <c r="B15" s="3">
        <v>44082</v>
      </c>
      <c r="C15" s="3">
        <v>36361</v>
      </c>
      <c r="D15" s="3">
        <v>33491</v>
      </c>
      <c r="E15" s="3">
        <v>33021</v>
      </c>
      <c r="F15" s="3">
        <v>13746</v>
      </c>
      <c r="G15" s="3">
        <v>33936</v>
      </c>
      <c r="H15" s="3">
        <v>38651</v>
      </c>
    </row>
    <row r="16" spans="1:8" x14ac:dyDescent="0.25">
      <c r="A16" s="1" t="s">
        <v>77</v>
      </c>
      <c r="B16" s="11">
        <v>95787</v>
      </c>
      <c r="C16" s="11">
        <v>82434</v>
      </c>
      <c r="D16" s="11">
        <v>78944</v>
      </c>
      <c r="E16" s="11">
        <v>79417</v>
      </c>
      <c r="F16" s="11">
        <v>55076</v>
      </c>
      <c r="G16" s="11">
        <v>83641</v>
      </c>
      <c r="H16" s="11">
        <v>27840</v>
      </c>
    </row>
    <row r="17" spans="1:10" x14ac:dyDescent="0.25">
      <c r="A17" t="s">
        <v>78</v>
      </c>
      <c r="B17" s="3">
        <v>19275</v>
      </c>
      <c r="C17" s="3">
        <v>18050</v>
      </c>
      <c r="D17" s="3">
        <v>18265</v>
      </c>
      <c r="E17" s="3">
        <v>19001</v>
      </c>
      <c r="F17" s="3">
        <v>18222</v>
      </c>
      <c r="G17" s="3">
        <v>20494</v>
      </c>
      <c r="H17" s="3">
        <v>16901</v>
      </c>
    </row>
    <row r="19" spans="1:10" x14ac:dyDescent="0.25">
      <c r="A19" s="1" t="s">
        <v>79</v>
      </c>
    </row>
    <row r="20" spans="1:10" x14ac:dyDescent="0.25">
      <c r="A20" s="1"/>
      <c r="C20">
        <v>2011</v>
      </c>
      <c r="D20">
        <v>2012</v>
      </c>
      <c r="E20">
        <v>2013</v>
      </c>
      <c r="F20">
        <v>2014</v>
      </c>
      <c r="G20">
        <v>2015</v>
      </c>
      <c r="H20">
        <v>2016</v>
      </c>
    </row>
    <row r="21" spans="1:10" x14ac:dyDescent="0.25">
      <c r="A21" s="2" t="s">
        <v>80</v>
      </c>
      <c r="C21" s="3">
        <v>178464</v>
      </c>
      <c r="D21" s="3">
        <v>160438</v>
      </c>
      <c r="E21" s="3">
        <v>197850</v>
      </c>
      <c r="F21" s="3">
        <v>207841</v>
      </c>
      <c r="G21" s="3">
        <v>181257</v>
      </c>
      <c r="H21" s="3">
        <v>202616</v>
      </c>
    </row>
    <row r="22" spans="1:10" x14ac:dyDescent="0.25">
      <c r="A22" t="s">
        <v>81</v>
      </c>
      <c r="C22" s="3">
        <v>4062811</v>
      </c>
      <c r="D22" s="3">
        <v>4112399</v>
      </c>
      <c r="E22" s="3">
        <v>4160098</v>
      </c>
      <c r="F22" s="3">
        <v>2835379</v>
      </c>
      <c r="G22" s="3">
        <v>4426059</v>
      </c>
      <c r="H22" s="3">
        <v>2304967</v>
      </c>
    </row>
    <row r="23" spans="1:10" x14ac:dyDescent="0.25">
      <c r="A23" t="s">
        <v>82</v>
      </c>
      <c r="C23" s="3">
        <f>+C21+C22</f>
        <v>4241275</v>
      </c>
      <c r="D23" s="3">
        <f t="shared" ref="D23:H23" si="0">+D21+D22</f>
        <v>4272837</v>
      </c>
      <c r="E23" s="3">
        <f t="shared" si="0"/>
        <v>4357948</v>
      </c>
      <c r="F23" s="3">
        <f t="shared" si="0"/>
        <v>3043220</v>
      </c>
      <c r="G23" s="3">
        <f t="shared" si="0"/>
        <v>4607316</v>
      </c>
      <c r="H23" s="3">
        <f t="shared" si="0"/>
        <v>2507583</v>
      </c>
    </row>
    <row r="24" spans="1:10" x14ac:dyDescent="0.25">
      <c r="A24" t="s">
        <v>215</v>
      </c>
      <c r="G24" s="3">
        <v>6120</v>
      </c>
    </row>
    <row r="26" spans="1:10" x14ac:dyDescent="0.25">
      <c r="C26" s="13">
        <v>2011</v>
      </c>
      <c r="D26" s="13">
        <v>2012</v>
      </c>
      <c r="E26" s="13">
        <v>2013</v>
      </c>
      <c r="F26" s="13">
        <v>2014</v>
      </c>
      <c r="G26" s="13">
        <v>2015</v>
      </c>
      <c r="H26" s="13">
        <v>2016</v>
      </c>
    </row>
    <row r="27" spans="1:10" x14ac:dyDescent="0.25">
      <c r="A27" t="s">
        <v>89</v>
      </c>
      <c r="C27" s="3">
        <v>50200</v>
      </c>
      <c r="D27" s="3">
        <v>46200</v>
      </c>
      <c r="E27" s="3">
        <v>44000</v>
      </c>
      <c r="F27" s="3">
        <v>32500</v>
      </c>
      <c r="G27" s="3">
        <v>32400</v>
      </c>
      <c r="H27" s="3">
        <v>27000</v>
      </c>
    </row>
    <row r="28" spans="1:10" x14ac:dyDescent="0.25">
      <c r="A28" t="s">
        <v>90</v>
      </c>
      <c r="C28" s="3">
        <v>136500</v>
      </c>
      <c r="D28" s="3">
        <v>218300</v>
      </c>
      <c r="E28" s="3">
        <v>177300</v>
      </c>
      <c r="F28" s="3">
        <v>72100</v>
      </c>
      <c r="G28" s="3">
        <v>93500</v>
      </c>
      <c r="H28" s="3">
        <v>22600</v>
      </c>
    </row>
    <row r="30" spans="1:10" x14ac:dyDescent="0.25">
      <c r="A30" s="1" t="s">
        <v>88</v>
      </c>
      <c r="C30">
        <v>2011</v>
      </c>
      <c r="D30">
        <v>2012</v>
      </c>
      <c r="E30">
        <v>2013</v>
      </c>
      <c r="F30">
        <v>2014</v>
      </c>
      <c r="G30">
        <v>2015</v>
      </c>
      <c r="H30">
        <v>2016</v>
      </c>
      <c r="J30" t="s">
        <v>190</v>
      </c>
    </row>
    <row r="31" spans="1:10" x14ac:dyDescent="0.25">
      <c r="A31" t="s">
        <v>91</v>
      </c>
      <c r="C31" s="3">
        <v>23851</v>
      </c>
      <c r="D31" s="3">
        <v>25607</v>
      </c>
      <c r="E31" s="3">
        <v>19029</v>
      </c>
      <c r="F31" s="3">
        <v>16696</v>
      </c>
      <c r="G31" s="3">
        <v>22829</v>
      </c>
      <c r="H31" s="3">
        <v>14434</v>
      </c>
    </row>
    <row r="32" spans="1:10" x14ac:dyDescent="0.25">
      <c r="A32" t="s">
        <v>92</v>
      </c>
      <c r="C32" s="3">
        <v>7636</v>
      </c>
      <c r="D32" s="3">
        <v>6448</v>
      </c>
      <c r="E32" s="3">
        <v>5637</v>
      </c>
      <c r="F32" s="3">
        <v>5142</v>
      </c>
      <c r="G32" s="3">
        <v>4573</v>
      </c>
      <c r="H32" s="3">
        <v>2093</v>
      </c>
    </row>
    <row r="33" spans="1:12" x14ac:dyDescent="0.25">
      <c r="A33" t="s">
        <v>93</v>
      </c>
      <c r="C33" s="3">
        <v>6216</v>
      </c>
      <c r="D33" s="3">
        <v>5785</v>
      </c>
      <c r="E33" s="3">
        <v>6207</v>
      </c>
      <c r="F33" s="3">
        <v>5271</v>
      </c>
      <c r="G33" s="3">
        <v>7380</v>
      </c>
      <c r="H33" s="3">
        <v>4999</v>
      </c>
    </row>
    <row r="35" spans="1:12" x14ac:dyDescent="0.25">
      <c r="A35" s="1" t="s">
        <v>16</v>
      </c>
      <c r="C35" s="13">
        <v>2011</v>
      </c>
      <c r="D35" s="13">
        <v>2012</v>
      </c>
      <c r="E35" s="13">
        <v>2013</v>
      </c>
      <c r="F35" s="13">
        <v>2014</v>
      </c>
      <c r="G35" s="13">
        <v>2015</v>
      </c>
      <c r="H35" s="13">
        <v>2016</v>
      </c>
    </row>
    <row r="36" spans="1:12" x14ac:dyDescent="0.25">
      <c r="A36" t="s">
        <v>94</v>
      </c>
      <c r="C36" s="3">
        <v>211</v>
      </c>
      <c r="D36" s="3">
        <v>209</v>
      </c>
      <c r="E36" s="3">
        <v>212</v>
      </c>
      <c r="F36" s="3">
        <v>209</v>
      </c>
      <c r="G36" s="3">
        <v>205</v>
      </c>
      <c r="H36" s="3">
        <v>173</v>
      </c>
    </row>
    <row r="37" spans="1:12" x14ac:dyDescent="0.25">
      <c r="A37" t="s">
        <v>96</v>
      </c>
      <c r="C37" s="3">
        <v>62260</v>
      </c>
      <c r="D37" s="3">
        <v>62689</v>
      </c>
      <c r="E37" s="3">
        <v>62053</v>
      </c>
      <c r="F37" s="3">
        <v>59066</v>
      </c>
      <c r="G37" s="3">
        <v>59900</v>
      </c>
      <c r="H37" s="3">
        <v>55821</v>
      </c>
    </row>
    <row r="38" spans="1:12" x14ac:dyDescent="0.25">
      <c r="A38" t="s">
        <v>97</v>
      </c>
      <c r="C38" s="3">
        <v>21250</v>
      </c>
      <c r="D38" s="3">
        <v>21600</v>
      </c>
      <c r="E38" s="3">
        <v>21417</v>
      </c>
      <c r="F38" s="3">
        <v>20361</v>
      </c>
      <c r="G38" s="3">
        <v>20431</v>
      </c>
    </row>
    <row r="39" spans="1:12" x14ac:dyDescent="0.25">
      <c r="A39" t="s">
        <v>98</v>
      </c>
      <c r="C39" s="3">
        <v>1843</v>
      </c>
      <c r="D39" s="3">
        <v>1845</v>
      </c>
      <c r="E39" s="3">
        <v>1888</v>
      </c>
      <c r="F39" s="3">
        <v>1817</v>
      </c>
      <c r="G39" s="3">
        <v>1607</v>
      </c>
    </row>
    <row r="40" spans="1:12" x14ac:dyDescent="0.25">
      <c r="A40" t="s">
        <v>99</v>
      </c>
      <c r="C40" s="3">
        <v>730</v>
      </c>
      <c r="D40" s="3">
        <v>730</v>
      </c>
      <c r="E40" s="3">
        <v>730</v>
      </c>
      <c r="F40" s="3">
        <v>754</v>
      </c>
      <c r="G40" s="3">
        <v>891</v>
      </c>
    </row>
    <row r="41" spans="1:12" x14ac:dyDescent="0.25">
      <c r="I41" t="s">
        <v>189</v>
      </c>
    </row>
    <row r="42" spans="1:12" x14ac:dyDescent="0.25">
      <c r="A42" s="1" t="s">
        <v>106</v>
      </c>
      <c r="C42">
        <v>2011</v>
      </c>
      <c r="D42">
        <v>2012</v>
      </c>
      <c r="E42">
        <v>2013</v>
      </c>
      <c r="F42">
        <v>2014</v>
      </c>
      <c r="G42">
        <v>2015</v>
      </c>
      <c r="I42" t="s">
        <v>186</v>
      </c>
      <c r="J42" t="s">
        <v>187</v>
      </c>
    </row>
    <row r="43" spans="1:12" x14ac:dyDescent="0.25">
      <c r="A43" t="s">
        <v>112</v>
      </c>
      <c r="C43" s="3">
        <v>136752</v>
      </c>
      <c r="D43" s="3">
        <v>135805</v>
      </c>
      <c r="E43" s="3">
        <v>131888</v>
      </c>
      <c r="F43" s="3">
        <v>108538</v>
      </c>
      <c r="G43" s="3">
        <v>128311</v>
      </c>
      <c r="I43" s="3">
        <v>1939404</v>
      </c>
      <c r="J43">
        <f>+I43/G43</f>
        <v>15.114869340898286</v>
      </c>
      <c r="K43" t="s">
        <v>188</v>
      </c>
      <c r="L43">
        <f>+J43*C43</f>
        <v>2066988.6121065223</v>
      </c>
    </row>
    <row r="44" spans="1:12" x14ac:dyDescent="0.25">
      <c r="A44" t="s">
        <v>113</v>
      </c>
      <c r="C44" s="3">
        <v>667</v>
      </c>
      <c r="D44" s="3">
        <v>1046</v>
      </c>
      <c r="E44" s="3">
        <v>637</v>
      </c>
      <c r="F44" s="3">
        <v>799</v>
      </c>
      <c r="G44" s="3">
        <v>423</v>
      </c>
      <c r="I44" s="3">
        <v>17155</v>
      </c>
      <c r="J44">
        <f t="shared" ref="J44:J46" si="1">+I44/G44</f>
        <v>40.555555555555557</v>
      </c>
      <c r="K44" t="s">
        <v>188</v>
      </c>
    </row>
    <row r="45" spans="1:12" x14ac:dyDescent="0.25">
      <c r="A45" t="s">
        <v>116</v>
      </c>
      <c r="C45" s="3">
        <v>1665</v>
      </c>
      <c r="D45" s="3">
        <v>0</v>
      </c>
      <c r="E45" s="3">
        <v>12</v>
      </c>
      <c r="F45" s="3">
        <v>383</v>
      </c>
      <c r="G45" s="3">
        <v>1679</v>
      </c>
      <c r="I45" s="3">
        <v>16035</v>
      </c>
      <c r="J45">
        <f t="shared" si="1"/>
        <v>9.5503275759380593</v>
      </c>
      <c r="K45" t="s">
        <v>188</v>
      </c>
    </row>
    <row r="46" spans="1:12" x14ac:dyDescent="0.25">
      <c r="A46" t="s">
        <v>118</v>
      </c>
      <c r="C46" s="3">
        <v>0</v>
      </c>
      <c r="D46" s="3">
        <v>0</v>
      </c>
      <c r="E46" s="3">
        <v>25</v>
      </c>
      <c r="F46" s="3">
        <v>34</v>
      </c>
      <c r="G46" s="3">
        <v>15</v>
      </c>
      <c r="I46" s="3">
        <v>645</v>
      </c>
      <c r="J46">
        <f t="shared" si="1"/>
        <v>43</v>
      </c>
      <c r="K46" t="s">
        <v>188</v>
      </c>
    </row>
    <row r="49" spans="1:7" x14ac:dyDescent="0.25">
      <c r="A49" t="s">
        <v>117</v>
      </c>
      <c r="C49" s="3">
        <v>0</v>
      </c>
      <c r="D49" s="3">
        <v>0</v>
      </c>
      <c r="E49" s="3">
        <v>0</v>
      </c>
      <c r="F49" s="3">
        <v>39</v>
      </c>
      <c r="G49" s="3">
        <v>272</v>
      </c>
    </row>
    <row r="50" spans="1:7" x14ac:dyDescent="0.25">
      <c r="A50" t="s">
        <v>114</v>
      </c>
      <c r="C50" s="3">
        <v>3676</v>
      </c>
      <c r="D50" s="3">
        <v>3348</v>
      </c>
      <c r="E50" s="3">
        <v>3293</v>
      </c>
      <c r="F50" s="3">
        <v>3369</v>
      </c>
      <c r="G50" s="3">
        <v>4910</v>
      </c>
    </row>
    <row r="51" spans="1:7" x14ac:dyDescent="0.25">
      <c r="A51" t="s">
        <v>115</v>
      </c>
      <c r="C51" s="3">
        <v>0</v>
      </c>
      <c r="D51" s="3">
        <v>0</v>
      </c>
      <c r="E51" s="3">
        <v>0</v>
      </c>
      <c r="F51" s="3">
        <v>1.3</v>
      </c>
      <c r="G51" s="3">
        <v>16</v>
      </c>
    </row>
    <row r="52" spans="1:7" x14ac:dyDescent="0.25">
      <c r="A52" t="s">
        <v>132</v>
      </c>
      <c r="G52">
        <v>57</v>
      </c>
    </row>
    <row r="53" spans="1:7" x14ac:dyDescent="0.25">
      <c r="A53" t="s">
        <v>133</v>
      </c>
      <c r="G53">
        <v>45</v>
      </c>
    </row>
    <row r="54" spans="1:7" x14ac:dyDescent="0.25">
      <c r="A54" t="s">
        <v>134</v>
      </c>
      <c r="G54">
        <v>1.4999999999999999E-2</v>
      </c>
    </row>
    <row r="55" spans="1:7" x14ac:dyDescent="0.25">
      <c r="A55" t="s">
        <v>135</v>
      </c>
      <c r="G55">
        <v>21</v>
      </c>
    </row>
    <row r="56" spans="1:7" x14ac:dyDescent="0.25">
      <c r="A56" t="s">
        <v>136</v>
      </c>
      <c r="G56">
        <v>0</v>
      </c>
    </row>
    <row r="57" spans="1:7" x14ac:dyDescent="0.25">
      <c r="A57" t="s">
        <v>137</v>
      </c>
      <c r="G57">
        <v>0.125</v>
      </c>
    </row>
    <row r="58" spans="1:7" x14ac:dyDescent="0.25">
      <c r="A58" t="s">
        <v>138</v>
      </c>
      <c r="G58">
        <v>0.17499999999999999</v>
      </c>
    </row>
    <row r="59" spans="1:7" x14ac:dyDescent="0.25">
      <c r="A59" t="s">
        <v>139</v>
      </c>
      <c r="G59">
        <v>100</v>
      </c>
    </row>
    <row r="61" spans="1:7" x14ac:dyDescent="0.25">
      <c r="A61" s="1" t="s">
        <v>184</v>
      </c>
      <c r="C61">
        <v>2011</v>
      </c>
      <c r="D61">
        <v>2012</v>
      </c>
      <c r="E61">
        <v>2013</v>
      </c>
      <c r="F61">
        <v>2014</v>
      </c>
      <c r="G61">
        <v>2015</v>
      </c>
    </row>
    <row r="62" spans="1:7" x14ac:dyDescent="0.25">
      <c r="A62" t="str">
        <f>+'Bilanční schéma 2015'!G9</f>
        <v>TZL (tuhé znečisťující látky)</v>
      </c>
      <c r="C62" s="3">
        <v>7</v>
      </c>
      <c r="D62" s="3">
        <v>14</v>
      </c>
      <c r="E62" s="3">
        <v>12</v>
      </c>
      <c r="F62" s="3">
        <v>12</v>
      </c>
      <c r="G62" s="3">
        <f>+'Bilanční schéma 2015'!H9</f>
        <v>12</v>
      </c>
    </row>
    <row r="63" spans="1:7" x14ac:dyDescent="0.25">
      <c r="A63" t="str">
        <f>+'Bilanční schéma 2015'!G10</f>
        <v>SO2</v>
      </c>
      <c r="C63" s="3">
        <v>1155</v>
      </c>
      <c r="D63" s="3">
        <v>1107</v>
      </c>
      <c r="E63" s="3">
        <v>1114</v>
      </c>
      <c r="F63" s="3">
        <v>925</v>
      </c>
      <c r="G63" s="3">
        <f>+'Bilanční schéma 2015'!H10</f>
        <v>1252</v>
      </c>
    </row>
    <row r="64" spans="1:7" x14ac:dyDescent="0.25">
      <c r="A64" t="str">
        <f>+'Bilanční schéma 2015'!G11</f>
        <v>NOX</v>
      </c>
      <c r="C64" s="3">
        <v>331</v>
      </c>
      <c r="D64" s="3">
        <v>332</v>
      </c>
      <c r="E64" s="3">
        <v>345</v>
      </c>
      <c r="F64" s="3">
        <v>264</v>
      </c>
      <c r="G64" s="3">
        <v>295</v>
      </c>
    </row>
    <row r="65" spans="1:7" x14ac:dyDescent="0.25">
      <c r="A65" t="str">
        <f>+'Bilanční schéma 2015'!G12</f>
        <v>CO</v>
      </c>
      <c r="C65" s="3">
        <v>113</v>
      </c>
      <c r="D65" s="3">
        <v>115</v>
      </c>
      <c r="E65" s="3">
        <v>113</v>
      </c>
      <c r="F65" s="3">
        <v>88</v>
      </c>
      <c r="G65" s="3">
        <f>+'Bilanční schéma 2015'!H12</f>
        <v>99</v>
      </c>
    </row>
    <row r="66" spans="1:7" x14ac:dyDescent="0.25">
      <c r="A66" t="s">
        <v>185</v>
      </c>
      <c r="C66" s="3"/>
      <c r="D66" s="3"/>
      <c r="E66" s="3"/>
      <c r="F66" s="3">
        <v>151108</v>
      </c>
      <c r="G66" s="3">
        <v>178888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4"/>
  <sheetViews>
    <sheetView topLeftCell="A91" workbookViewId="0">
      <selection activeCell="K69" sqref="K69"/>
    </sheetView>
  </sheetViews>
  <sheetFormatPr defaultRowHeight="15" x14ac:dyDescent="0.25"/>
  <cols>
    <col min="1" max="1" width="24.42578125" bestFit="1" customWidth="1"/>
    <col min="2" max="2" width="10.85546875" customWidth="1"/>
    <col min="3" max="4" width="9.85546875" bestFit="1" customWidth="1"/>
    <col min="5" max="5" width="10.7109375" customWidth="1"/>
    <col min="6" max="7" width="12.140625" bestFit="1" customWidth="1"/>
    <col min="8" max="8" width="16.5703125" customWidth="1"/>
    <col min="9" max="9" width="11" bestFit="1" customWidth="1"/>
    <col min="10" max="10" width="12.42578125" customWidth="1"/>
    <col min="11" max="12" width="9.85546875" bestFit="1" customWidth="1"/>
    <col min="14" max="14" width="13.5703125" customWidth="1"/>
  </cols>
  <sheetData>
    <row r="1" spans="1:9" x14ac:dyDescent="0.25">
      <c r="A1" s="1" t="s">
        <v>239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t="s">
        <v>63</v>
      </c>
      <c r="B2" s="3">
        <f>+Parmetry!G9</f>
        <v>508014</v>
      </c>
      <c r="C2" t="s">
        <v>64</v>
      </c>
      <c r="D2" s="3">
        <v>273655</v>
      </c>
      <c r="E2" t="s">
        <v>83</v>
      </c>
      <c r="F2">
        <f>+D2/B2</f>
        <v>0.53867609947757344</v>
      </c>
      <c r="G2">
        <f>+F2*1000</f>
        <v>538.67609947757342</v>
      </c>
      <c r="H2" t="s">
        <v>84</v>
      </c>
      <c r="I2" t="s">
        <v>85</v>
      </c>
    </row>
    <row r="3" spans="1:9" x14ac:dyDescent="0.25">
      <c r="A3" t="s">
        <v>65</v>
      </c>
      <c r="B3" s="3">
        <f>+Parmetry!G16</f>
        <v>83641</v>
      </c>
      <c r="C3" t="s">
        <v>66</v>
      </c>
      <c r="D3" s="3">
        <v>86376</v>
      </c>
      <c r="E3" t="s">
        <v>83</v>
      </c>
      <c r="F3">
        <f>+D3/B3</f>
        <v>1.0326992742793606</v>
      </c>
      <c r="G3">
        <f>+F3*1000</f>
        <v>1032.6992742793607</v>
      </c>
      <c r="H3" t="s">
        <v>86</v>
      </c>
      <c r="I3" t="s">
        <v>85</v>
      </c>
    </row>
    <row r="4" spans="1:9" x14ac:dyDescent="0.25">
      <c r="D4" s="3"/>
    </row>
    <row r="5" spans="1:9" x14ac:dyDescent="0.25">
      <c r="A5" s="1" t="s">
        <v>240</v>
      </c>
      <c r="D5" s="3"/>
    </row>
    <row r="6" spans="1:9" x14ac:dyDescent="0.25">
      <c r="A6" t="s">
        <v>63</v>
      </c>
      <c r="B6" s="3">
        <f>+Parmetry!H9</f>
        <v>529744</v>
      </c>
      <c r="C6" t="s">
        <v>64</v>
      </c>
      <c r="D6" s="3">
        <v>255975</v>
      </c>
      <c r="E6" t="s">
        <v>83</v>
      </c>
      <c r="F6">
        <f>+D6/B6</f>
        <v>0.4832050952913105</v>
      </c>
      <c r="G6">
        <f>+F6*1000</f>
        <v>483.2050952913105</v>
      </c>
      <c r="H6" t="s">
        <v>84</v>
      </c>
    </row>
    <row r="7" spans="1:9" x14ac:dyDescent="0.25">
      <c r="A7" t="s">
        <v>65</v>
      </c>
      <c r="B7" s="3">
        <f>+Parmetry!H16</f>
        <v>27840</v>
      </c>
      <c r="D7" s="3">
        <v>25563</v>
      </c>
      <c r="E7" t="s">
        <v>83</v>
      </c>
      <c r="F7">
        <f>+D7/B7</f>
        <v>0.91821120689655178</v>
      </c>
      <c r="G7">
        <f>+F7*1000</f>
        <v>918.21120689655174</v>
      </c>
      <c r="H7" t="s">
        <v>86</v>
      </c>
    </row>
    <row r="9" spans="1:9" x14ac:dyDescent="0.25">
      <c r="A9" t="s">
        <v>241</v>
      </c>
      <c r="B9">
        <v>0.7</v>
      </c>
    </row>
    <row r="10" spans="1:9" x14ac:dyDescent="0.25">
      <c r="D10" s="12"/>
    </row>
    <row r="11" spans="1:9" x14ac:dyDescent="0.25">
      <c r="A11" s="1" t="s">
        <v>87</v>
      </c>
    </row>
    <row r="12" spans="1:9" x14ac:dyDescent="0.25">
      <c r="A12" t="s">
        <v>95</v>
      </c>
      <c r="D12" s="3">
        <f>+Parmetry!G37+Parmetry!G38+Parmetry!G39+Parmetry!G40</f>
        <v>82829</v>
      </c>
      <c r="E12" t="s">
        <v>83</v>
      </c>
      <c r="F12" t="s">
        <v>13</v>
      </c>
    </row>
    <row r="13" spans="1:9" x14ac:dyDescent="0.25">
      <c r="A13" t="s">
        <v>100</v>
      </c>
      <c r="D13" s="3">
        <v>22695</v>
      </c>
      <c r="E13" t="s">
        <v>83</v>
      </c>
      <c r="F13" s="3" t="s">
        <v>230</v>
      </c>
    </row>
    <row r="14" spans="1:9" x14ac:dyDescent="0.25">
      <c r="A14" t="s">
        <v>101</v>
      </c>
      <c r="D14" s="3">
        <v>144162</v>
      </c>
      <c r="E14" t="s">
        <v>83</v>
      </c>
      <c r="F14" t="s">
        <v>13</v>
      </c>
    </row>
    <row r="15" spans="1:9" x14ac:dyDescent="0.25">
      <c r="A15" t="s">
        <v>102</v>
      </c>
      <c r="D15" s="3">
        <v>12459</v>
      </c>
      <c r="E15" t="s">
        <v>83</v>
      </c>
      <c r="F15" t="s">
        <v>13</v>
      </c>
    </row>
    <row r="16" spans="1:9" x14ac:dyDescent="0.25">
      <c r="A16" t="s">
        <v>103</v>
      </c>
      <c r="D16" s="3">
        <v>13655</v>
      </c>
      <c r="E16" t="s">
        <v>83</v>
      </c>
      <c r="F16" t="s">
        <v>13</v>
      </c>
      <c r="H16" s="3">
        <f>+D16+D15+D14+D13</f>
        <v>192971</v>
      </c>
    </row>
    <row r="17" spans="1:16" x14ac:dyDescent="0.25">
      <c r="A17" t="s">
        <v>104</v>
      </c>
      <c r="D17" s="3">
        <v>13142</v>
      </c>
      <c r="E17" t="s">
        <v>83</v>
      </c>
    </row>
    <row r="18" spans="1:16" x14ac:dyDescent="0.25">
      <c r="D18" s="3"/>
    </row>
    <row r="19" spans="1:16" x14ac:dyDescent="0.25">
      <c r="D19" s="3"/>
      <c r="H19" t="s">
        <v>221</v>
      </c>
      <c r="M19" t="s">
        <v>222</v>
      </c>
      <c r="O19">
        <v>25.12</v>
      </c>
      <c r="P19" t="s">
        <v>223</v>
      </c>
    </row>
    <row r="20" spans="1:16" x14ac:dyDescent="0.25">
      <c r="A20" s="1" t="s">
        <v>101</v>
      </c>
      <c r="D20" s="12"/>
      <c r="H20" t="s">
        <v>121</v>
      </c>
      <c r="I20" t="s">
        <v>220</v>
      </c>
      <c r="M20" t="s">
        <v>224</v>
      </c>
      <c r="O20">
        <f>+Parmetry!J43</f>
        <v>15.114869340898286</v>
      </c>
    </row>
    <row r="21" spans="1:16" x14ac:dyDescent="0.25">
      <c r="A21" t="s">
        <v>107</v>
      </c>
      <c r="B21" s="3">
        <v>120311</v>
      </c>
      <c r="C21" t="s">
        <v>119</v>
      </c>
      <c r="D21" s="3">
        <f>+B21*F21/1000</f>
        <v>108275.14779114818</v>
      </c>
      <c r="E21" t="s">
        <v>83</v>
      </c>
      <c r="F21">
        <f>+(0.8*I22/O19)*K22*O20</f>
        <v>899.9605006287718</v>
      </c>
      <c r="G21" t="s">
        <v>120</v>
      </c>
    </row>
    <row r="22" spans="1:16" x14ac:dyDescent="0.25">
      <c r="A22" t="s">
        <v>108</v>
      </c>
      <c r="B22" s="3">
        <f>+Parmetry!G44</f>
        <v>423</v>
      </c>
      <c r="C22" t="s">
        <v>119</v>
      </c>
      <c r="D22" s="3">
        <f>+B22*F22/1000</f>
        <v>2081.16</v>
      </c>
      <c r="E22" t="s">
        <v>83</v>
      </c>
      <c r="F22">
        <f>+J23</f>
        <v>4920</v>
      </c>
      <c r="G22" t="s">
        <v>120</v>
      </c>
      <c r="H22" t="s">
        <v>225</v>
      </c>
      <c r="I22">
        <v>76</v>
      </c>
      <c r="J22" t="s">
        <v>226</v>
      </c>
      <c r="K22">
        <v>24.6</v>
      </c>
      <c r="M22">
        <f>+I22*B21</f>
        <v>9143636</v>
      </c>
      <c r="N22" s="3">
        <f>+M22*K22/1000</f>
        <v>224933.44560000004</v>
      </c>
      <c r="O22" t="s">
        <v>120</v>
      </c>
    </row>
    <row r="23" spans="1:16" x14ac:dyDescent="0.25">
      <c r="A23" t="s">
        <v>110</v>
      </c>
      <c r="B23" s="3">
        <f>+Parmetry!G45</f>
        <v>1679</v>
      </c>
      <c r="C23" t="s">
        <v>119</v>
      </c>
      <c r="D23" s="3">
        <f>+B23*F23/1000</f>
        <v>8059.2</v>
      </c>
      <c r="E23" t="s">
        <v>83</v>
      </c>
      <c r="F23">
        <v>4800</v>
      </c>
      <c r="G23" t="s">
        <v>120</v>
      </c>
      <c r="H23">
        <v>200</v>
      </c>
      <c r="I23" t="s">
        <v>227</v>
      </c>
      <c r="J23">
        <f>+H23*K22</f>
        <v>4920</v>
      </c>
      <c r="K23" t="s">
        <v>120</v>
      </c>
    </row>
    <row r="24" spans="1:16" x14ac:dyDescent="0.25">
      <c r="A24" t="s">
        <v>111</v>
      </c>
      <c r="B24" s="3">
        <f>+(Parmetry!G46*1000)/0.845</f>
        <v>17751.479289940828</v>
      </c>
      <c r="C24" t="s">
        <v>123</v>
      </c>
      <c r="D24" s="3">
        <f>+B24*F24/1000</f>
        <v>426.03550295857985</v>
      </c>
      <c r="E24" t="s">
        <v>83</v>
      </c>
      <c r="F24">
        <v>24</v>
      </c>
      <c r="G24" t="s">
        <v>124</v>
      </c>
    </row>
    <row r="25" spans="1:16" x14ac:dyDescent="0.25">
      <c r="A25" t="s">
        <v>191</v>
      </c>
      <c r="B25" s="3"/>
      <c r="D25" s="3"/>
      <c r="G25" t="s">
        <v>266</v>
      </c>
      <c r="H25">
        <v>144162</v>
      </c>
    </row>
    <row r="26" spans="1:16" x14ac:dyDescent="0.25">
      <c r="A26" t="s">
        <v>122</v>
      </c>
      <c r="D26" s="3">
        <f>+SUM(D21:D24)</f>
        <v>118841.54329410676</v>
      </c>
    </row>
    <row r="27" spans="1:16" x14ac:dyDescent="0.25">
      <c r="A27" t="s">
        <v>228</v>
      </c>
      <c r="D27" s="3"/>
      <c r="G27" t="s">
        <v>229</v>
      </c>
    </row>
    <row r="28" spans="1:16" x14ac:dyDescent="0.25">
      <c r="D28" s="3"/>
    </row>
    <row r="29" spans="1:16" x14ac:dyDescent="0.25">
      <c r="A29" s="1" t="s">
        <v>324</v>
      </c>
      <c r="B29" s="17">
        <v>2010</v>
      </c>
      <c r="C29" s="17">
        <v>2011</v>
      </c>
      <c r="D29" s="17">
        <v>2012</v>
      </c>
      <c r="E29" s="17">
        <v>2013</v>
      </c>
      <c r="F29" s="17">
        <v>2014</v>
      </c>
      <c r="G29" s="17">
        <v>2015</v>
      </c>
      <c r="H29" s="17">
        <v>2016</v>
      </c>
    </row>
    <row r="30" spans="1:16" x14ac:dyDescent="0.25">
      <c r="A30" t="s">
        <v>211</v>
      </c>
      <c r="B30" s="3">
        <v>4627771</v>
      </c>
      <c r="C30" s="3">
        <v>4062811</v>
      </c>
      <c r="D30" s="3">
        <v>4112399</v>
      </c>
      <c r="E30" s="3">
        <v>4160098</v>
      </c>
      <c r="F30" s="3">
        <v>2835379</v>
      </c>
      <c r="G30" s="3">
        <v>442659</v>
      </c>
      <c r="H30" s="3">
        <v>2304967</v>
      </c>
    </row>
    <row r="31" spans="1:16" x14ac:dyDescent="0.25">
      <c r="A31" t="s">
        <v>325</v>
      </c>
      <c r="B31" s="3">
        <v>89799</v>
      </c>
      <c r="C31" s="3">
        <v>81315</v>
      </c>
      <c r="D31" s="3">
        <v>80615</v>
      </c>
      <c r="E31" s="3">
        <v>83481</v>
      </c>
      <c r="F31" s="3">
        <v>55690</v>
      </c>
      <c r="G31" s="3">
        <v>91673</v>
      </c>
      <c r="H31" s="3">
        <v>41844</v>
      </c>
    </row>
    <row r="32" spans="1:16" x14ac:dyDescent="0.25">
      <c r="A32" t="s">
        <v>212</v>
      </c>
      <c r="B32" s="3">
        <v>214924</v>
      </c>
      <c r="C32" s="3">
        <v>178464</v>
      </c>
      <c r="D32" s="3">
        <v>160438</v>
      </c>
      <c r="E32" s="3">
        <v>197850</v>
      </c>
      <c r="F32" s="3">
        <v>207481</v>
      </c>
      <c r="G32" s="3">
        <f>+B37</f>
        <v>181257</v>
      </c>
      <c r="H32" s="3">
        <f>+B45</f>
        <v>202616</v>
      </c>
      <c r="J32" t="s">
        <v>326</v>
      </c>
      <c r="K32" s="3">
        <f>+AVERAGE(B32:H32)</f>
        <v>191861.42857142858</v>
      </c>
    </row>
    <row r="33" spans="1:10" x14ac:dyDescent="0.25">
      <c r="D33" s="3"/>
    </row>
    <row r="34" spans="1:10" x14ac:dyDescent="0.25">
      <c r="D34" s="3"/>
    </row>
    <row r="35" spans="1:10" x14ac:dyDescent="0.25">
      <c r="A35" s="1" t="s">
        <v>242</v>
      </c>
    </row>
    <row r="36" spans="1:10" x14ac:dyDescent="0.25">
      <c r="A36" t="s">
        <v>211</v>
      </c>
      <c r="B36" s="3">
        <f>+Parmetry!G22</f>
        <v>4426059</v>
      </c>
      <c r="C36" t="s">
        <v>127</v>
      </c>
      <c r="D36" s="3">
        <f>+B36*F36/1000</f>
        <v>5399.79198</v>
      </c>
      <c r="E36" t="s">
        <v>83</v>
      </c>
      <c r="F36">
        <v>1.22</v>
      </c>
      <c r="G36" t="s">
        <v>125</v>
      </c>
      <c r="H36" t="s">
        <v>213</v>
      </c>
      <c r="J36" t="s">
        <v>209</v>
      </c>
    </row>
    <row r="37" spans="1:10" x14ac:dyDescent="0.25">
      <c r="A37" t="s">
        <v>212</v>
      </c>
      <c r="B37" s="3">
        <f>+Parmetry!G21</f>
        <v>181257</v>
      </c>
      <c r="C37" t="s">
        <v>127</v>
      </c>
      <c r="D37" s="3">
        <f>+B37*F37/1000</f>
        <v>616.27379999999994</v>
      </c>
      <c r="E37" t="s">
        <v>83</v>
      </c>
      <c r="F37">
        <v>3.4</v>
      </c>
      <c r="G37" t="s">
        <v>125</v>
      </c>
      <c r="H37" t="s">
        <v>214</v>
      </c>
      <c r="J37" t="s">
        <v>210</v>
      </c>
    </row>
    <row r="38" spans="1:10" x14ac:dyDescent="0.25">
      <c r="A38" t="s">
        <v>126</v>
      </c>
      <c r="B38" s="3">
        <f>+Parmetry!G24</f>
        <v>6120</v>
      </c>
      <c r="C38" t="s">
        <v>127</v>
      </c>
      <c r="D38" s="3">
        <f>+B38*F38/1000</f>
        <v>467.13959999999997</v>
      </c>
      <c r="E38" t="s">
        <v>83</v>
      </c>
      <c r="F38">
        <v>76.33</v>
      </c>
      <c r="G38" t="s">
        <v>125</v>
      </c>
      <c r="H38" t="s">
        <v>216</v>
      </c>
    </row>
    <row r="39" spans="1:10" x14ac:dyDescent="0.25">
      <c r="A39" t="s">
        <v>122</v>
      </c>
      <c r="B39" s="3"/>
      <c r="D39" s="3">
        <f>+D36+D37+D38</f>
        <v>6483.2053799999994</v>
      </c>
      <c r="E39" t="s">
        <v>83</v>
      </c>
    </row>
    <row r="40" spans="1:10" x14ac:dyDescent="0.25">
      <c r="A40" t="s">
        <v>217</v>
      </c>
      <c r="B40" s="3"/>
      <c r="D40" s="3">
        <f>+D15-D39</f>
        <v>5975.7946200000006</v>
      </c>
      <c r="E40" t="s">
        <v>83</v>
      </c>
    </row>
    <row r="41" spans="1:10" x14ac:dyDescent="0.25">
      <c r="A41" t="s">
        <v>78</v>
      </c>
      <c r="B41" s="3"/>
      <c r="D41" s="3">
        <f>+Parmetry!G17</f>
        <v>20494</v>
      </c>
      <c r="E41" t="s">
        <v>83</v>
      </c>
      <c r="F41">
        <f>+D40/D41*1000</f>
        <v>291.58751927393382</v>
      </c>
      <c r="G41" t="s">
        <v>218</v>
      </c>
      <c r="H41" t="s">
        <v>219</v>
      </c>
    </row>
    <row r="42" spans="1:10" x14ac:dyDescent="0.25">
      <c r="B42" s="3"/>
      <c r="D42" s="3"/>
    </row>
    <row r="43" spans="1:10" x14ac:dyDescent="0.25">
      <c r="A43" s="1" t="s">
        <v>243</v>
      </c>
      <c r="B43" s="3"/>
      <c r="D43" s="3"/>
    </row>
    <row r="44" spans="1:10" x14ac:dyDescent="0.25">
      <c r="A44" t="s">
        <v>211</v>
      </c>
      <c r="B44" s="3">
        <v>2304967</v>
      </c>
      <c r="C44" t="s">
        <v>127</v>
      </c>
      <c r="D44" s="3">
        <f>+B44*F44/1000</f>
        <v>2812.0597399999997</v>
      </c>
      <c r="E44" t="s">
        <v>83</v>
      </c>
      <c r="F44">
        <v>1.22</v>
      </c>
      <c r="G44" t="s">
        <v>125</v>
      </c>
      <c r="H44" t="s">
        <v>213</v>
      </c>
    </row>
    <row r="45" spans="1:10" x14ac:dyDescent="0.25">
      <c r="A45" t="s">
        <v>212</v>
      </c>
      <c r="B45" s="3">
        <v>202616</v>
      </c>
      <c r="C45" t="s">
        <v>127</v>
      </c>
      <c r="D45" s="3">
        <f>+B45*F45/1000</f>
        <v>688.89440000000002</v>
      </c>
      <c r="E45" t="s">
        <v>83</v>
      </c>
      <c r="F45">
        <v>3.4</v>
      </c>
      <c r="G45" t="s">
        <v>125</v>
      </c>
      <c r="H45" t="s">
        <v>214</v>
      </c>
    </row>
    <row r="46" spans="1:10" x14ac:dyDescent="0.25">
      <c r="A46" t="s">
        <v>126</v>
      </c>
      <c r="B46" s="3">
        <v>6120</v>
      </c>
      <c r="C46" t="s">
        <v>127</v>
      </c>
      <c r="D46" s="3">
        <f>+B46*F46/1000</f>
        <v>473.81040000000002</v>
      </c>
      <c r="E46" t="s">
        <v>83</v>
      </c>
      <c r="F46">
        <v>77.42</v>
      </c>
      <c r="G46" t="s">
        <v>125</v>
      </c>
      <c r="H46" t="s">
        <v>216</v>
      </c>
    </row>
    <row r="47" spans="1:10" x14ac:dyDescent="0.25">
      <c r="A47" t="s">
        <v>122</v>
      </c>
      <c r="B47" s="3"/>
      <c r="D47" s="3">
        <f>+SUM(D44:D46)</f>
        <v>3974.7645399999997</v>
      </c>
      <c r="E47" t="s">
        <v>83</v>
      </c>
    </row>
    <row r="48" spans="1:10" x14ac:dyDescent="0.25">
      <c r="B48" s="3"/>
      <c r="D48" s="3"/>
    </row>
    <row r="49" spans="1:10" x14ac:dyDescent="0.25">
      <c r="A49" s="1" t="s">
        <v>145</v>
      </c>
      <c r="B49" s="3"/>
    </row>
    <row r="50" spans="1:10" x14ac:dyDescent="0.25">
      <c r="A50" t="s">
        <v>141</v>
      </c>
      <c r="B50">
        <f>+Parmetry!G52</f>
        <v>57</v>
      </c>
      <c r="C50" t="s">
        <v>119</v>
      </c>
      <c r="D50" s="14">
        <f t="shared" ref="D50:D56" si="0">+B50*F50/1000</f>
        <v>1596</v>
      </c>
      <c r="E50" t="s">
        <v>83</v>
      </c>
      <c r="F50">
        <v>28000</v>
      </c>
      <c r="G50" t="s">
        <v>128</v>
      </c>
      <c r="H50">
        <v>1100</v>
      </c>
      <c r="I50" t="s">
        <v>227</v>
      </c>
    </row>
    <row r="51" spans="1:10" x14ac:dyDescent="0.25">
      <c r="A51" t="s">
        <v>109</v>
      </c>
      <c r="B51" s="3">
        <f>+Parmetry!G50</f>
        <v>4910</v>
      </c>
      <c r="C51" t="s">
        <v>119</v>
      </c>
      <c r="D51" s="14">
        <f t="shared" si="0"/>
        <v>10261.9</v>
      </c>
      <c r="E51" t="s">
        <v>83</v>
      </c>
      <c r="F51">
        <v>2090</v>
      </c>
      <c r="G51" t="s">
        <v>128</v>
      </c>
    </row>
    <row r="52" spans="1:10" x14ac:dyDescent="0.25">
      <c r="A52" t="s">
        <v>142</v>
      </c>
      <c r="B52">
        <f>+Parmetry!G54</f>
        <v>1.4999999999999999E-2</v>
      </c>
      <c r="C52" t="s">
        <v>119</v>
      </c>
      <c r="D52" s="14">
        <f t="shared" si="0"/>
        <v>2.4224999999999997E-2</v>
      </c>
      <c r="E52" t="s">
        <v>83</v>
      </c>
      <c r="F52">
        <v>1615</v>
      </c>
      <c r="G52" t="s">
        <v>129</v>
      </c>
    </row>
    <row r="53" spans="1:10" x14ac:dyDescent="0.25">
      <c r="A53" t="s">
        <v>143</v>
      </c>
      <c r="B53">
        <f>+Parmetry!G55</f>
        <v>21</v>
      </c>
      <c r="C53" t="s">
        <v>119</v>
      </c>
      <c r="D53" s="14">
        <f t="shared" si="0"/>
        <v>2.73</v>
      </c>
      <c r="E53" t="s">
        <v>83</v>
      </c>
      <c r="F53">
        <v>130</v>
      </c>
      <c r="G53" t="s">
        <v>129</v>
      </c>
    </row>
    <row r="54" spans="1:10" x14ac:dyDescent="0.25">
      <c r="A54" t="s">
        <v>137</v>
      </c>
      <c r="B54">
        <f>+Parmetry!G57</f>
        <v>0.125</v>
      </c>
      <c r="C54" t="s">
        <v>119</v>
      </c>
      <c r="D54" s="14">
        <f t="shared" si="0"/>
        <v>7.4999999999999997E-3</v>
      </c>
      <c r="E54" t="s">
        <v>83</v>
      </c>
      <c r="F54">
        <v>60</v>
      </c>
      <c r="G54" t="s">
        <v>129</v>
      </c>
    </row>
    <row r="55" spans="1:10" x14ac:dyDescent="0.25">
      <c r="A55" t="s">
        <v>144</v>
      </c>
      <c r="B55">
        <f>+Parmetry!G58</f>
        <v>0.17499999999999999</v>
      </c>
      <c r="C55" t="s">
        <v>119</v>
      </c>
      <c r="D55" s="14">
        <f t="shared" si="0"/>
        <v>2.2749999999999999E-2</v>
      </c>
      <c r="E55" t="s">
        <v>83</v>
      </c>
      <c r="F55">
        <v>130</v>
      </c>
      <c r="G55" t="s">
        <v>129</v>
      </c>
    </row>
    <row r="56" spans="1:10" x14ac:dyDescent="0.25">
      <c r="A56" t="s">
        <v>130</v>
      </c>
      <c r="B56">
        <f>+Parmetry!G59</f>
        <v>100</v>
      </c>
      <c r="C56" t="s">
        <v>140</v>
      </c>
      <c r="D56" s="14">
        <f t="shared" si="0"/>
        <v>8</v>
      </c>
      <c r="E56" t="s">
        <v>83</v>
      </c>
      <c r="F56">
        <v>80</v>
      </c>
      <c r="G56" t="s">
        <v>131</v>
      </c>
    </row>
    <row r="57" spans="1:10" x14ac:dyDescent="0.25">
      <c r="A57" t="s">
        <v>122</v>
      </c>
      <c r="D57" s="3">
        <f>+SUM(D50:D56)</f>
        <v>11868.684474999998</v>
      </c>
      <c r="E57" t="s">
        <v>83</v>
      </c>
    </row>
    <row r="58" spans="1:10" x14ac:dyDescent="0.25">
      <c r="A58" t="s">
        <v>231</v>
      </c>
      <c r="D58" s="3">
        <f>+D13-D57</f>
        <v>10826.315525000002</v>
      </c>
      <c r="E58" t="s">
        <v>83</v>
      </c>
    </row>
    <row r="59" spans="1:10" x14ac:dyDescent="0.25">
      <c r="A59" t="s">
        <v>122</v>
      </c>
      <c r="D59" s="3">
        <f>+D57+D58</f>
        <v>22695</v>
      </c>
    </row>
    <row r="60" spans="1:10" x14ac:dyDescent="0.25">
      <c r="D60" s="3"/>
    </row>
    <row r="61" spans="1:10" x14ac:dyDescent="0.25">
      <c r="A61" s="1" t="s">
        <v>192</v>
      </c>
    </row>
    <row r="62" spans="1:10" x14ac:dyDescent="0.25">
      <c r="A62" s="16" t="s">
        <v>194</v>
      </c>
      <c r="B62" s="3">
        <v>397662</v>
      </c>
      <c r="C62" t="s">
        <v>83</v>
      </c>
      <c r="E62" t="s">
        <v>197</v>
      </c>
      <c r="H62" s="3">
        <v>395451</v>
      </c>
      <c r="I62" t="s">
        <v>83</v>
      </c>
    </row>
    <row r="63" spans="1:10" x14ac:dyDescent="0.25">
      <c r="A63" t="s">
        <v>195</v>
      </c>
      <c r="B63" s="3">
        <v>368576</v>
      </c>
      <c r="C63" t="s">
        <v>83</v>
      </c>
      <c r="E63" t="s">
        <v>198</v>
      </c>
      <c r="H63" s="3">
        <v>359386</v>
      </c>
      <c r="I63" t="s">
        <v>83</v>
      </c>
    </row>
    <row r="64" spans="1:10" x14ac:dyDescent="0.25">
      <c r="A64" t="s">
        <v>196</v>
      </c>
      <c r="B64" s="3">
        <f>+B62-B63</f>
        <v>29086</v>
      </c>
      <c r="C64" t="s">
        <v>83</v>
      </c>
      <c r="E64" t="s">
        <v>196</v>
      </c>
      <c r="H64" s="3">
        <f>+H62-H63</f>
        <v>36065</v>
      </c>
      <c r="I64" t="s">
        <v>83</v>
      </c>
      <c r="J64" t="s">
        <v>232</v>
      </c>
    </row>
    <row r="66" spans="1:8" x14ac:dyDescent="0.25">
      <c r="B66">
        <v>2012</v>
      </c>
      <c r="C66">
        <v>2013</v>
      </c>
      <c r="D66">
        <v>2014</v>
      </c>
      <c r="E66">
        <v>2015</v>
      </c>
      <c r="F66">
        <v>2016</v>
      </c>
    </row>
    <row r="67" spans="1:8" x14ac:dyDescent="0.25">
      <c r="A67" t="s">
        <v>185</v>
      </c>
      <c r="B67" s="3">
        <v>190224</v>
      </c>
      <c r="C67" s="3">
        <v>193896</v>
      </c>
      <c r="D67" s="3">
        <v>151108</v>
      </c>
      <c r="E67" s="3">
        <v>178880</v>
      </c>
      <c r="F67" s="3">
        <v>125912</v>
      </c>
    </row>
    <row r="68" spans="1:8" x14ac:dyDescent="0.25">
      <c r="A68" t="s">
        <v>185</v>
      </c>
      <c r="B68" s="3">
        <f>+D68*1000/F68</f>
        <v>133495.50211125391</v>
      </c>
      <c r="C68" t="s">
        <v>119</v>
      </c>
      <c r="D68" s="3">
        <f>+B64</f>
        <v>29086</v>
      </c>
      <c r="E68" t="s">
        <v>83</v>
      </c>
      <c r="F68">
        <v>217.88</v>
      </c>
      <c r="G68" t="s">
        <v>120</v>
      </c>
    </row>
    <row r="69" spans="1:8" x14ac:dyDescent="0.25">
      <c r="A69" t="s">
        <v>201</v>
      </c>
      <c r="B69" s="3">
        <f>+B68-G70</f>
        <v>98248.502111253911</v>
      </c>
      <c r="D69" s="3">
        <f>+B69+B70</f>
        <v>145248.50211125391</v>
      </c>
      <c r="F69" t="s">
        <v>193</v>
      </c>
      <c r="G69" s="3">
        <v>47000</v>
      </c>
      <c r="H69" t="s">
        <v>200</v>
      </c>
    </row>
    <row r="70" spans="1:8" x14ac:dyDescent="0.25">
      <c r="A70" t="s">
        <v>202</v>
      </c>
      <c r="B70" s="3">
        <v>47000</v>
      </c>
      <c r="C70" s="3"/>
      <c r="D70" s="3">
        <f>+B70*F68/1000</f>
        <v>10240.36</v>
      </c>
      <c r="E70" t="s">
        <v>83</v>
      </c>
      <c r="F70" t="s">
        <v>199</v>
      </c>
      <c r="G70" s="3">
        <f>+G69-11753</f>
        <v>35247</v>
      </c>
      <c r="H70" t="s">
        <v>200</v>
      </c>
    </row>
    <row r="71" spans="1:8" x14ac:dyDescent="0.25">
      <c r="F71" t="s">
        <v>238</v>
      </c>
      <c r="G71">
        <v>11753</v>
      </c>
      <c r="H71" t="s">
        <v>200</v>
      </c>
    </row>
    <row r="73" spans="1:8" x14ac:dyDescent="0.25">
      <c r="A73" s="1" t="s">
        <v>208</v>
      </c>
    </row>
    <row r="74" spans="1:8" x14ac:dyDescent="0.25">
      <c r="B74" s="17" t="s">
        <v>204</v>
      </c>
      <c r="C74" s="17">
        <v>2017</v>
      </c>
      <c r="D74" s="17">
        <v>2018</v>
      </c>
      <c r="E74" s="17">
        <v>2019</v>
      </c>
      <c r="F74" s="17">
        <v>2020</v>
      </c>
      <c r="G74" s="17" t="s">
        <v>205</v>
      </c>
    </row>
    <row r="75" spans="1:8" x14ac:dyDescent="0.25">
      <c r="A75" t="s">
        <v>203</v>
      </c>
      <c r="B75">
        <v>4200</v>
      </c>
      <c r="C75">
        <v>6300</v>
      </c>
      <c r="D75">
        <v>8400</v>
      </c>
      <c r="E75">
        <v>10500</v>
      </c>
      <c r="F75">
        <v>12600</v>
      </c>
      <c r="G75">
        <v>14700</v>
      </c>
    </row>
    <row r="76" spans="1:8" x14ac:dyDescent="0.25">
      <c r="A76" t="s">
        <v>171</v>
      </c>
      <c r="B76">
        <v>1350</v>
      </c>
      <c r="C76">
        <v>2100</v>
      </c>
      <c r="D76">
        <v>2800</v>
      </c>
      <c r="E76">
        <v>3500</v>
      </c>
      <c r="F76">
        <v>4200</v>
      </c>
      <c r="G76">
        <v>4900</v>
      </c>
    </row>
    <row r="77" spans="1:8" x14ac:dyDescent="0.25">
      <c r="A77" t="s">
        <v>172</v>
      </c>
      <c r="B77">
        <v>1100</v>
      </c>
      <c r="C77">
        <v>1700</v>
      </c>
      <c r="D77">
        <v>2200</v>
      </c>
      <c r="E77">
        <v>2800</v>
      </c>
      <c r="F77">
        <v>3300</v>
      </c>
      <c r="G77">
        <v>3900</v>
      </c>
    </row>
    <row r="78" spans="1:8" x14ac:dyDescent="0.25">
      <c r="A78" t="s">
        <v>206</v>
      </c>
      <c r="B78">
        <v>2700</v>
      </c>
      <c r="C78">
        <v>4200</v>
      </c>
      <c r="D78">
        <v>5600</v>
      </c>
      <c r="E78">
        <v>7000</v>
      </c>
      <c r="F78">
        <v>8400</v>
      </c>
      <c r="G78">
        <v>9800</v>
      </c>
    </row>
    <row r="80" spans="1:8" x14ac:dyDescent="0.25">
      <c r="B80">
        <v>2015</v>
      </c>
      <c r="F80">
        <v>2016</v>
      </c>
    </row>
    <row r="81" spans="1:13" x14ac:dyDescent="0.25">
      <c r="A81" t="s">
        <v>203</v>
      </c>
      <c r="B81" s="3">
        <f>+'Bilanční schéma 2015'!H9</f>
        <v>12</v>
      </c>
      <c r="C81" t="s">
        <v>119</v>
      </c>
      <c r="D81" s="3">
        <f>+B81*B75/1000</f>
        <v>50.4</v>
      </c>
      <c r="E81" t="s">
        <v>83</v>
      </c>
      <c r="F81">
        <v>5</v>
      </c>
      <c r="G81" s="3">
        <f>+F81*B75/1000</f>
        <v>21</v>
      </c>
      <c r="H81" t="s">
        <v>83</v>
      </c>
    </row>
    <row r="82" spans="1:13" x14ac:dyDescent="0.25">
      <c r="A82" t="s">
        <v>171</v>
      </c>
      <c r="B82" s="3">
        <f>+'Bilanční schéma 2015'!H10</f>
        <v>1252</v>
      </c>
      <c r="C82" t="s">
        <v>119</v>
      </c>
      <c r="D82" s="3">
        <f>+B82*B76/1000</f>
        <v>1690.2</v>
      </c>
      <c r="E82" t="s">
        <v>83</v>
      </c>
      <c r="F82">
        <v>518</v>
      </c>
      <c r="G82" s="3">
        <f t="shared" ref="G82:G83" si="1">+F82*B76/1000</f>
        <v>699.3</v>
      </c>
      <c r="H82" t="s">
        <v>83</v>
      </c>
    </row>
    <row r="83" spans="1:13" x14ac:dyDescent="0.25">
      <c r="A83" t="s">
        <v>172</v>
      </c>
      <c r="B83" s="3">
        <f>+'Bilanční schéma 2015'!H11</f>
        <v>295</v>
      </c>
      <c r="C83" t="s">
        <v>119</v>
      </c>
      <c r="D83" s="3">
        <f>+B83*B77/1000</f>
        <v>324.5</v>
      </c>
      <c r="E83" t="s">
        <v>83</v>
      </c>
      <c r="F83">
        <v>114</v>
      </c>
      <c r="G83" s="3">
        <f t="shared" si="1"/>
        <v>125.4</v>
      </c>
      <c r="H83" t="s">
        <v>83</v>
      </c>
    </row>
    <row r="85" spans="1:13" x14ac:dyDescent="0.25">
      <c r="A85" t="s">
        <v>207</v>
      </c>
      <c r="D85" s="3">
        <f>+D83+D82+D81+D70</f>
        <v>12305.460000000001</v>
      </c>
      <c r="E85" t="s">
        <v>83</v>
      </c>
      <c r="G85" s="3">
        <f>+SUM(G81:G83)</f>
        <v>845.69999999999993</v>
      </c>
      <c r="H85" t="s">
        <v>83</v>
      </c>
    </row>
    <row r="87" spans="1:13" x14ac:dyDescent="0.25">
      <c r="A87" s="1" t="s">
        <v>297</v>
      </c>
    </row>
    <row r="88" spans="1:13" x14ac:dyDescent="0.25">
      <c r="B88">
        <v>2005</v>
      </c>
      <c r="C88">
        <v>2006</v>
      </c>
      <c r="D88">
        <v>2007</v>
      </c>
      <c r="E88">
        <v>2008</v>
      </c>
      <c r="F88">
        <v>2009</v>
      </c>
      <c r="G88">
        <v>2010</v>
      </c>
      <c r="H88">
        <v>2011</v>
      </c>
      <c r="I88">
        <v>2012</v>
      </c>
      <c r="J88">
        <v>2013</v>
      </c>
      <c r="K88">
        <v>2014</v>
      </c>
      <c r="L88" s="1">
        <v>2015</v>
      </c>
      <c r="M88">
        <v>2016</v>
      </c>
    </row>
    <row r="89" spans="1:13" x14ac:dyDescent="0.25">
      <c r="A89" t="s">
        <v>295</v>
      </c>
      <c r="B89" s="3">
        <v>859000</v>
      </c>
      <c r="C89" s="3">
        <v>832000</v>
      </c>
      <c r="D89" s="3">
        <v>777000</v>
      </c>
      <c r="E89" s="3">
        <v>787000</v>
      </c>
      <c r="F89" s="3">
        <v>726000</v>
      </c>
      <c r="G89" s="3">
        <v>776000</v>
      </c>
      <c r="H89" s="3">
        <v>671000</v>
      </c>
      <c r="I89" s="3">
        <v>654000</v>
      </c>
      <c r="J89" s="3">
        <v>669000</v>
      </c>
      <c r="K89" s="3">
        <v>569000</v>
      </c>
      <c r="L89" s="11">
        <v>508000</v>
      </c>
      <c r="M89" s="3">
        <v>529744</v>
      </c>
    </row>
    <row r="90" spans="1:13" x14ac:dyDescent="0.25">
      <c r="A90" t="s">
        <v>307</v>
      </c>
      <c r="B90" s="3">
        <v>236017</v>
      </c>
      <c r="C90" s="3">
        <v>234767</v>
      </c>
      <c r="D90" s="3">
        <v>233692</v>
      </c>
      <c r="E90" s="3">
        <v>249457</v>
      </c>
      <c r="F90" s="3">
        <v>246867</v>
      </c>
      <c r="G90" s="3">
        <v>274668</v>
      </c>
      <c r="H90" s="3">
        <v>262517</v>
      </c>
      <c r="I90" s="3">
        <v>287628</v>
      </c>
      <c r="J90" s="3">
        <v>289872</v>
      </c>
      <c r="K90" s="3">
        <v>279619</v>
      </c>
      <c r="L90" s="11">
        <f>+D2</f>
        <v>273655</v>
      </c>
      <c r="M90" s="3">
        <f>+D6</f>
        <v>255975</v>
      </c>
    </row>
    <row r="91" spans="1:13" x14ac:dyDescent="0.25">
      <c r="A91" t="s">
        <v>308</v>
      </c>
      <c r="B91" s="3">
        <f>+B90*1000/B89</f>
        <v>274.7578579743888</v>
      </c>
      <c r="C91" s="3">
        <f>+C90*1000/C89</f>
        <v>282.171875</v>
      </c>
      <c r="D91" s="3">
        <f>+D90*1000/D89</f>
        <v>300.76190476190476</v>
      </c>
      <c r="E91" s="3">
        <f t="shared" ref="E91:M91" si="2">+E90*1000/E89</f>
        <v>316.97204574332909</v>
      </c>
      <c r="F91" s="3">
        <f t="shared" si="2"/>
        <v>340.03719008264466</v>
      </c>
      <c r="G91" s="3">
        <f t="shared" si="2"/>
        <v>353.95360824742266</v>
      </c>
      <c r="H91" s="3">
        <f t="shared" si="2"/>
        <v>391.23248882265278</v>
      </c>
      <c r="I91" s="3">
        <f t="shared" si="2"/>
        <v>439.79816513761466</v>
      </c>
      <c r="J91" s="3">
        <f t="shared" si="2"/>
        <v>433.29147982062779</v>
      </c>
      <c r="K91" s="3">
        <f t="shared" si="2"/>
        <v>491.42179261862918</v>
      </c>
      <c r="L91" s="11">
        <f t="shared" si="2"/>
        <v>538.69094488188978</v>
      </c>
      <c r="M91" s="3">
        <f t="shared" si="2"/>
        <v>483.2050952913105</v>
      </c>
    </row>
    <row r="92" spans="1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3" x14ac:dyDescent="0.25">
      <c r="A93" t="s">
        <v>383</v>
      </c>
      <c r="B93" s="3"/>
      <c r="C93" s="3"/>
      <c r="D93" s="3"/>
      <c r="E93" s="3"/>
      <c r="F93" s="3"/>
      <c r="G93" s="3">
        <v>70980</v>
      </c>
      <c r="H93" s="3">
        <v>64123</v>
      </c>
      <c r="I93" s="3">
        <v>63718</v>
      </c>
      <c r="J93" s="3">
        <v>65397</v>
      </c>
      <c r="K93" s="3">
        <v>59552</v>
      </c>
      <c r="L93" s="3">
        <v>70199</v>
      </c>
    </row>
    <row r="94" spans="1:13" x14ac:dyDescent="0.25">
      <c r="A94" t="s">
        <v>382</v>
      </c>
      <c r="B94" s="3"/>
      <c r="C94" s="3"/>
      <c r="D94" s="3"/>
      <c r="E94" s="3"/>
      <c r="F94" s="3"/>
      <c r="G94" s="3">
        <v>44082</v>
      </c>
      <c r="H94" s="3">
        <v>36361</v>
      </c>
      <c r="I94" s="3">
        <v>33491</v>
      </c>
      <c r="J94" s="3">
        <v>33021</v>
      </c>
      <c r="K94" s="3">
        <v>13746</v>
      </c>
      <c r="L94" s="3">
        <v>33936</v>
      </c>
    </row>
    <row r="95" spans="1:13" x14ac:dyDescent="0.25">
      <c r="A95" t="s">
        <v>384</v>
      </c>
      <c r="B95" s="3"/>
      <c r="C95" s="3"/>
      <c r="D95" s="3"/>
      <c r="E95" s="3"/>
      <c r="F95" s="3"/>
      <c r="G95" s="31">
        <f>+G94/G93</f>
        <v>0.62104818258664407</v>
      </c>
      <c r="H95" s="31">
        <f t="shared" ref="H95:L95" si="3">+H94/H93</f>
        <v>0.56705082419724595</v>
      </c>
      <c r="I95" s="31">
        <f t="shared" si="3"/>
        <v>0.52561285664961233</v>
      </c>
      <c r="J95" s="31">
        <f t="shared" si="3"/>
        <v>0.50493141887242532</v>
      </c>
      <c r="K95" s="31">
        <f t="shared" si="3"/>
        <v>0.2308234819989253</v>
      </c>
      <c r="L95" s="31">
        <f t="shared" si="3"/>
        <v>0.4834256898246414</v>
      </c>
    </row>
    <row r="96" spans="1:13" x14ac:dyDescent="0.25">
      <c r="A96" t="s">
        <v>296</v>
      </c>
      <c r="B96" s="3">
        <v>99428</v>
      </c>
      <c r="C96" s="3">
        <v>113894</v>
      </c>
      <c r="D96" s="3">
        <v>116523</v>
      </c>
      <c r="E96" s="3">
        <v>113976</v>
      </c>
      <c r="F96" s="3">
        <v>99212</v>
      </c>
      <c r="G96" s="3">
        <v>95721</v>
      </c>
      <c r="H96" s="3">
        <v>82375</v>
      </c>
      <c r="I96" s="3">
        <v>78944</v>
      </c>
      <c r="J96" s="3">
        <v>79447</v>
      </c>
      <c r="K96" s="3">
        <v>55245</v>
      </c>
      <c r="L96" s="11">
        <v>83641</v>
      </c>
      <c r="M96" s="3">
        <f>+B7</f>
        <v>27840</v>
      </c>
    </row>
    <row r="97" spans="1:13" x14ac:dyDescent="0.25">
      <c r="A97" t="s">
        <v>385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11"/>
      <c r="M97" s="3"/>
    </row>
    <row r="98" spans="1:13" x14ac:dyDescent="0.25">
      <c r="A98" t="s">
        <v>311</v>
      </c>
      <c r="C98" s="3">
        <v>139433</v>
      </c>
      <c r="D98" s="3">
        <v>161213</v>
      </c>
      <c r="E98" s="3">
        <v>191925</v>
      </c>
      <c r="F98" s="3">
        <v>200685</v>
      </c>
      <c r="G98" s="3">
        <v>128697</v>
      </c>
      <c r="H98" s="3">
        <v>113756</v>
      </c>
      <c r="I98" s="3">
        <v>109337</v>
      </c>
      <c r="J98" s="3">
        <f>+I98*(1-0.089)</f>
        <v>99606.006999999998</v>
      </c>
      <c r="K98" s="3">
        <v>55235</v>
      </c>
      <c r="L98" s="11">
        <f>+D3</f>
        <v>86376</v>
      </c>
      <c r="M98" s="3">
        <f>+D7</f>
        <v>25563</v>
      </c>
    </row>
    <row r="99" spans="1:13" x14ac:dyDescent="0.25">
      <c r="A99" t="s">
        <v>312</v>
      </c>
      <c r="C99" s="3">
        <f>+C98*1000/C96</f>
        <v>1224.2348148278224</v>
      </c>
      <c r="D99" s="3">
        <f t="shared" ref="D99:M99" si="4">+D98*1000/D96</f>
        <v>1383.5294319576392</v>
      </c>
      <c r="E99" s="3">
        <f t="shared" si="4"/>
        <v>1683.9071383449148</v>
      </c>
      <c r="F99" s="3">
        <f t="shared" si="4"/>
        <v>2022.7895819054147</v>
      </c>
      <c r="G99" s="3">
        <f t="shared" si="4"/>
        <v>1344.5012066317736</v>
      </c>
      <c r="H99" s="3">
        <f t="shared" si="4"/>
        <v>1380.9529590288316</v>
      </c>
      <c r="I99" s="3">
        <f t="shared" si="4"/>
        <v>1384.9944264288611</v>
      </c>
      <c r="J99" s="3">
        <f t="shared" si="4"/>
        <v>1253.741576145103</v>
      </c>
      <c r="K99" s="3">
        <f t="shared" si="4"/>
        <v>999.81898814372346</v>
      </c>
      <c r="L99" s="11">
        <f t="shared" si="4"/>
        <v>1032.6992742793607</v>
      </c>
      <c r="M99" s="3">
        <f t="shared" si="4"/>
        <v>918.21120689655174</v>
      </c>
    </row>
    <row r="101" spans="1:13" x14ac:dyDescent="0.25">
      <c r="A101" s="1" t="s">
        <v>104</v>
      </c>
    </row>
    <row r="102" spans="1:13" x14ac:dyDescent="0.25">
      <c r="B102">
        <v>2005</v>
      </c>
      <c r="C102">
        <v>2006</v>
      </c>
      <c r="D102">
        <v>2007</v>
      </c>
      <c r="E102">
        <v>2008</v>
      </c>
      <c r="F102">
        <v>2009</v>
      </c>
      <c r="G102">
        <v>2010</v>
      </c>
      <c r="H102">
        <v>2011</v>
      </c>
      <c r="I102">
        <v>2012</v>
      </c>
      <c r="J102">
        <v>2013</v>
      </c>
      <c r="K102">
        <v>2014</v>
      </c>
      <c r="L102">
        <v>2015</v>
      </c>
      <c r="M102">
        <v>2016</v>
      </c>
    </row>
    <row r="103" spans="1:13" x14ac:dyDescent="0.25">
      <c r="B103" s="3">
        <v>44179</v>
      </c>
      <c r="C103" s="3">
        <v>49721</v>
      </c>
      <c r="D103" s="3">
        <v>44794</v>
      </c>
      <c r="E103" s="3">
        <v>48378</v>
      </c>
      <c r="F103" s="3">
        <v>64949</v>
      </c>
      <c r="G103" s="3">
        <v>54834</v>
      </c>
      <c r="H103" s="3">
        <v>25812</v>
      </c>
      <c r="I103" s="3">
        <v>24882</v>
      </c>
      <c r="J103" s="3">
        <v>22575</v>
      </c>
      <c r="K103" s="3">
        <v>14734</v>
      </c>
      <c r="L103" s="3">
        <f>+D17</f>
        <v>13142</v>
      </c>
      <c r="M103" s="3">
        <v>11262</v>
      </c>
    </row>
    <row r="104" spans="1:13" x14ac:dyDescent="0.25">
      <c r="B104" t="s">
        <v>344</v>
      </c>
    </row>
    <row r="106" spans="1:13" x14ac:dyDescent="0.25">
      <c r="A106" s="1" t="s">
        <v>368</v>
      </c>
    </row>
    <row r="107" spans="1:13" x14ac:dyDescent="0.25">
      <c r="B107">
        <v>2013</v>
      </c>
      <c r="C107">
        <v>2014</v>
      </c>
      <c r="D107">
        <v>2015</v>
      </c>
      <c r="E107">
        <v>2016</v>
      </c>
    </row>
    <row r="108" spans="1:13" x14ac:dyDescent="0.25">
      <c r="A108" t="s">
        <v>369</v>
      </c>
      <c r="B108" s="3">
        <v>42398</v>
      </c>
      <c r="C108" s="3">
        <v>49170</v>
      </c>
      <c r="D108" s="3">
        <v>48636</v>
      </c>
      <c r="E108" s="3">
        <v>43063</v>
      </c>
    </row>
    <row r="109" spans="1:13" x14ac:dyDescent="0.25">
      <c r="A109" t="s">
        <v>370</v>
      </c>
      <c r="B109" s="14">
        <v>0.19</v>
      </c>
      <c r="C109" s="14">
        <v>0.19</v>
      </c>
      <c r="D109" s="14">
        <v>0.19</v>
      </c>
      <c r="E109" s="14">
        <v>0.19</v>
      </c>
    </row>
    <row r="110" spans="1:13" x14ac:dyDescent="0.25">
      <c r="A110" t="s">
        <v>371</v>
      </c>
      <c r="B110" s="3">
        <v>3008</v>
      </c>
      <c r="C110" s="3">
        <v>531</v>
      </c>
      <c r="D110" s="3">
        <v>728</v>
      </c>
      <c r="E110" s="3">
        <v>1976</v>
      </c>
    </row>
    <row r="111" spans="1:13" x14ac:dyDescent="0.25">
      <c r="A111" t="s">
        <v>372</v>
      </c>
      <c r="B111" s="3">
        <f t="shared" ref="B111:D111" si="5">-(B110/B109-B108)</f>
        <v>26566.42105263158</v>
      </c>
      <c r="C111" s="3">
        <f t="shared" si="5"/>
        <v>46375.263157894733</v>
      </c>
      <c r="D111" s="3">
        <f t="shared" si="5"/>
        <v>44804.42105263158</v>
      </c>
      <c r="E111" s="3">
        <f>-(E110/E109-E108)</f>
        <v>32663</v>
      </c>
    </row>
    <row r="113" spans="1:1" x14ac:dyDescent="0.25">
      <c r="A113" s="1" t="s">
        <v>374</v>
      </c>
    </row>
    <row r="114" spans="1:1" x14ac:dyDescent="0.25">
      <c r="A114" t="s">
        <v>375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>
      <selection activeCell="P42" sqref="P42"/>
    </sheetView>
  </sheetViews>
  <sheetFormatPr defaultRowHeight="15" x14ac:dyDescent="0.25"/>
  <cols>
    <col min="1" max="1" width="46.28515625" bestFit="1" customWidth="1"/>
    <col min="2" max="2" width="10.7109375" style="3" bestFit="1" customWidth="1"/>
    <col min="3" max="3" width="11.42578125" bestFit="1" customWidth="1"/>
    <col min="4" max="4" width="12.42578125" bestFit="1" customWidth="1"/>
    <col min="13" max="13" width="10" bestFit="1" customWidth="1"/>
    <col min="14" max="14" width="11.85546875" bestFit="1" customWidth="1"/>
  </cols>
  <sheetData>
    <row r="1" spans="1:13" x14ac:dyDescent="0.25">
      <c r="A1" s="1" t="s">
        <v>236</v>
      </c>
    </row>
    <row r="2" spans="1:13" x14ac:dyDescent="0.25">
      <c r="B2" s="20">
        <v>0</v>
      </c>
      <c r="C2" s="21">
        <v>1</v>
      </c>
      <c r="D2" s="21">
        <v>2</v>
      </c>
      <c r="E2" s="20">
        <v>3</v>
      </c>
      <c r="F2" s="21">
        <v>4</v>
      </c>
      <c r="G2" s="21">
        <v>5</v>
      </c>
      <c r="H2" s="20">
        <v>6</v>
      </c>
      <c r="I2" s="21">
        <v>7</v>
      </c>
    </row>
    <row r="3" spans="1:13" x14ac:dyDescent="0.25">
      <c r="B3" s="19">
        <v>2015</v>
      </c>
      <c r="C3" s="19">
        <v>2016</v>
      </c>
      <c r="D3" s="19">
        <v>2017</v>
      </c>
      <c r="E3" s="19">
        <v>2018</v>
      </c>
      <c r="F3" s="19">
        <v>2019</v>
      </c>
      <c r="G3" s="19">
        <v>2020</v>
      </c>
      <c r="H3" s="19">
        <v>2021</v>
      </c>
      <c r="I3" s="19">
        <v>2022</v>
      </c>
      <c r="J3" s="19">
        <v>2023</v>
      </c>
      <c r="K3" s="19">
        <v>2024</v>
      </c>
      <c r="L3" s="19">
        <v>2025</v>
      </c>
      <c r="M3" t="s">
        <v>392</v>
      </c>
    </row>
    <row r="4" spans="1:13" x14ac:dyDescent="0.25">
      <c r="A4" t="s">
        <v>63</v>
      </c>
      <c r="B4" s="3">
        <f>+Rozbor!D2</f>
        <v>273655</v>
      </c>
      <c r="C4" s="3">
        <f>+Rozbor!D6</f>
        <v>255975</v>
      </c>
      <c r="D4" s="3">
        <f>+'Vývoj cen realistický'!D69</f>
        <v>242891.31900212393</v>
      </c>
      <c r="E4" s="3">
        <f>+'Vývoj cen realistický'!E69</f>
        <v>251301.84781355425</v>
      </c>
      <c r="F4" s="3">
        <f>+'Vývoj cen realistický'!F69</f>
        <v>260003.60562064612</v>
      </c>
      <c r="G4" s="3">
        <f>+'Vývoj cen realistický'!G69</f>
        <v>269006.67672723054</v>
      </c>
      <c r="H4" s="3">
        <f>+'Vývoj cen realistický'!H69</f>
        <v>278321.49462346715</v>
      </c>
      <c r="I4" s="3">
        <f>+'Vývoj cen realistický'!I69</f>
        <v>287958.8540770199</v>
      </c>
      <c r="J4" s="3">
        <f>+'Vývoj cen realistický'!J69</f>
        <v>297929.92364291108</v>
      </c>
      <c r="K4" s="3">
        <f>+'Vývoj cen realistický'!K69</f>
        <v>308246.25860654982</v>
      </c>
      <c r="L4" s="3">
        <f>+'Vývoj cen realistický'!L69</f>
        <v>318919.81437493576</v>
      </c>
      <c r="M4" s="3">
        <f>+L4</f>
        <v>318919.81437493576</v>
      </c>
    </row>
    <row r="5" spans="1:13" x14ac:dyDescent="0.25">
      <c r="A5" t="s">
        <v>65</v>
      </c>
      <c r="B5" s="3">
        <f>+Rozbor!D3</f>
        <v>86376</v>
      </c>
      <c r="C5" s="3">
        <f>+Rozbor!D7</f>
        <v>25563</v>
      </c>
      <c r="D5" s="3">
        <f>+'Vývoj cen realistický'!D75</f>
        <v>75153.118393234676</v>
      </c>
      <c r="E5" s="3">
        <f>+'Vývoj cen realistický'!E75</f>
        <v>65740.934747059131</v>
      </c>
      <c r="F5" s="3">
        <f>+'Vývoj cen realistický'!F75</f>
        <v>61461.155773592865</v>
      </c>
      <c r="G5" s="3">
        <f>+'Vývoj cen realistický'!G75</f>
        <v>62376.926994619404</v>
      </c>
      <c r="H5" s="3">
        <f>+'Vývoj cen realistický'!H75</f>
        <v>63306.343206839243</v>
      </c>
      <c r="I5" s="3">
        <f>+'Vývoj cen realistický'!I75</f>
        <v>64249.607720621148</v>
      </c>
      <c r="J5" s="3">
        <f>+'Vývoj cen realistický'!J75</f>
        <v>65206.926875658406</v>
      </c>
      <c r="K5" s="3">
        <f>+'Vývoj cen realistický'!K75</f>
        <v>66178.510086105714</v>
      </c>
      <c r="L5" s="3">
        <f>+'Vývoj cen realistický'!L75</f>
        <v>67164.569886388708</v>
      </c>
      <c r="M5" s="3">
        <f t="shared" ref="M5:M22" si="0">+L5</f>
        <v>67164.569886388708</v>
      </c>
    </row>
    <row r="6" spans="1:13" x14ac:dyDescent="0.25">
      <c r="A6" t="s">
        <v>380</v>
      </c>
      <c r="C6" s="3"/>
      <c r="D6" s="3">
        <f>+'Vývoj cen realistický'!D77</f>
        <v>5568</v>
      </c>
      <c r="E6" s="3">
        <f>+'Vývoj cen realistický'!E77</f>
        <v>5568</v>
      </c>
      <c r="F6" s="3">
        <f>+'Vývoj cen realistický'!F77</f>
        <v>5568</v>
      </c>
      <c r="G6" s="3">
        <f>+'Vývoj cen realistický'!G77</f>
        <v>5568</v>
      </c>
      <c r="H6" s="3">
        <f>+'Vývoj cen realistický'!H77</f>
        <v>5568</v>
      </c>
      <c r="I6" s="3">
        <f>+'Vývoj cen realistický'!I77</f>
        <v>5568</v>
      </c>
      <c r="J6" s="3">
        <f>+'Vývoj cen realistický'!J77</f>
        <v>5568</v>
      </c>
      <c r="K6" s="3">
        <f>+'Vývoj cen realistický'!K77</f>
        <v>5568</v>
      </c>
      <c r="L6" s="3">
        <f>+'Vývoj cen realistický'!L77</f>
        <v>5568</v>
      </c>
      <c r="M6" s="3">
        <f t="shared" si="0"/>
        <v>5568</v>
      </c>
    </row>
    <row r="7" spans="1:13" x14ac:dyDescent="0.25">
      <c r="A7" t="s">
        <v>141</v>
      </c>
      <c r="B7" s="3">
        <f>-'Vývoj cen realistický'!B93</f>
        <v>-1596</v>
      </c>
      <c r="C7" s="3">
        <f>-'Vývoj cen realistický'!C93</f>
        <v>-1627.92</v>
      </c>
      <c r="D7" s="3">
        <f>-'Vývoj cen realistický'!D93</f>
        <v>-1660.4784000000002</v>
      </c>
      <c r="E7" s="3">
        <f>-'Vývoj cen realistický'!E93</f>
        <v>-1693.6879680000002</v>
      </c>
      <c r="F7" s="3">
        <f>-'Vývoj cen realistický'!F93</f>
        <v>-1727.5617273600001</v>
      </c>
      <c r="G7" s="3">
        <f>-'Vývoj cen realistický'!G93</f>
        <v>-1762.1129619072001</v>
      </c>
      <c r="H7" s="3">
        <f>-'Vývoj cen realistický'!H93</f>
        <v>-1797.3552211453439</v>
      </c>
      <c r="I7" s="3">
        <f>-'Vývoj cen realistický'!I93</f>
        <v>-1833.302325568251</v>
      </c>
      <c r="J7" s="3">
        <f>-'Vývoj cen realistický'!J93</f>
        <v>-1869.9683720796158</v>
      </c>
      <c r="K7" s="3">
        <f>-'Vývoj cen realistický'!K93</f>
        <v>-1907.3677395212085</v>
      </c>
      <c r="L7" s="3">
        <f>-'Vývoj cen realistický'!L93</f>
        <v>-1945.5150943116328</v>
      </c>
      <c r="M7" s="3">
        <f t="shared" si="0"/>
        <v>-1945.5150943116328</v>
      </c>
    </row>
    <row r="8" spans="1:13" x14ac:dyDescent="0.25">
      <c r="A8" t="s">
        <v>109</v>
      </c>
      <c r="B8" s="3">
        <f>-'Vývoj cen realistický'!B96</f>
        <v>-3019.65</v>
      </c>
      <c r="C8" s="3">
        <f>-'Vývoj cen realistický'!C96</f>
        <v>-3080.0430000000001</v>
      </c>
      <c r="D8" s="3">
        <f>-'Vývoj cen realistický'!D96</f>
        <v>-3141.6438599999997</v>
      </c>
      <c r="E8" s="3">
        <f>-'Vývoj cen realistický'!E96</f>
        <v>-3204.4767371999997</v>
      </c>
      <c r="F8" s="3">
        <f>-'Vývoj cen realistický'!F96</f>
        <v>-3268.5662719439997</v>
      </c>
      <c r="G8" s="3">
        <f>-'Vývoj cen realistický'!G96</f>
        <v>-3333.9375973828796</v>
      </c>
      <c r="H8" s="3">
        <f>-'Vývoj cen realistický'!H96</f>
        <v>-3400.6163493305376</v>
      </c>
      <c r="I8" s="3">
        <f>-'Vývoj cen realistický'!I96</f>
        <v>-3468.6286763171483</v>
      </c>
      <c r="J8" s="3">
        <f>-'Vývoj cen realistický'!J96</f>
        <v>-3538.0012498434912</v>
      </c>
      <c r="K8" s="3">
        <f>-'Vývoj cen realistický'!K96</f>
        <v>-3608.7612748403612</v>
      </c>
      <c r="L8" s="3">
        <f>-'Vývoj cen realistický'!L96</f>
        <v>-3680.9365003371686</v>
      </c>
      <c r="M8" s="3">
        <f t="shared" si="0"/>
        <v>-3680.9365003371686</v>
      </c>
    </row>
    <row r="9" spans="1:13" x14ac:dyDescent="0.25">
      <c r="A9" t="s">
        <v>328</v>
      </c>
      <c r="B9" s="3">
        <f>-'Vývoj cen realistický'!B97</f>
        <v>-18079.349999999999</v>
      </c>
      <c r="C9" s="3">
        <f>-'Vývoj cen realistický'!C97</f>
        <v>-16972.037</v>
      </c>
      <c r="D9" s="3">
        <f>-'Vývoj cen realistický'!D97</f>
        <v>-17311.477740000002</v>
      </c>
      <c r="E9" s="3">
        <f>-'Vývoj cen realistický'!E97</f>
        <v>-17657.707294800002</v>
      </c>
      <c r="F9" s="3">
        <f>-'Vývoj cen realistický'!F97</f>
        <v>-18010.861440696004</v>
      </c>
      <c r="G9" s="3">
        <f>-'Vývoj cen realistický'!G97</f>
        <v>-18371.078669509923</v>
      </c>
      <c r="H9" s="3">
        <f>-'Vývoj cen realistický'!H97</f>
        <v>-18738.500242900122</v>
      </c>
      <c r="I9" s="3">
        <f>-'Vývoj cen realistický'!I97</f>
        <v>-19113.270247758126</v>
      </c>
      <c r="J9" s="3">
        <f>-'Vývoj cen realistický'!J97</f>
        <v>-19495.53565271329</v>
      </c>
      <c r="K9" s="3">
        <f>-'Vývoj cen realistický'!K97</f>
        <v>-19885.446365767555</v>
      </c>
      <c r="L9" s="3">
        <f>-'Vývoj cen realistický'!L97</f>
        <v>-20283.155293082906</v>
      </c>
      <c r="M9" s="3">
        <f t="shared" si="0"/>
        <v>-20283.155293082906</v>
      </c>
    </row>
    <row r="10" spans="1:13" x14ac:dyDescent="0.25">
      <c r="A10" t="s">
        <v>211</v>
      </c>
      <c r="B10" s="3">
        <f>-Rozbor!D36</f>
        <v>-5399.79198</v>
      </c>
      <c r="C10" s="3">
        <f>-Rozbor!D44</f>
        <v>-2812.0597399999997</v>
      </c>
      <c r="D10" s="3">
        <f>-'Vývoj cen realistický'!D82</f>
        <v>-5399.79198</v>
      </c>
      <c r="E10" s="3">
        <f>-'Vývoj cen realistický'!E82</f>
        <v>-5507.7878196000001</v>
      </c>
      <c r="F10" s="3">
        <f>-'Vývoj cen realistický'!F82</f>
        <v>-5617.9435759920007</v>
      </c>
      <c r="G10" s="3">
        <f>-'Vývoj cen realistický'!G82</f>
        <v>-5730.30244751184</v>
      </c>
      <c r="H10" s="3">
        <f>-'Vývoj cen realistický'!H82</f>
        <v>-5844.908496462077</v>
      </c>
      <c r="I10" s="3">
        <f>-'Vývoj cen realistický'!I82</f>
        <v>-5961.8066663913178</v>
      </c>
      <c r="J10" s="3">
        <f>-'Vývoj cen realistický'!J82</f>
        <v>-6081.0427997191446</v>
      </c>
      <c r="K10" s="3">
        <f>-'Vývoj cen realistický'!K82</f>
        <v>-6202.6636557135271</v>
      </c>
      <c r="L10" s="3">
        <f>-'Vývoj cen realistický'!L82</f>
        <v>-6326.7169288277983</v>
      </c>
      <c r="M10" s="3">
        <f t="shared" si="0"/>
        <v>-6326.7169288277983</v>
      </c>
    </row>
    <row r="11" spans="1:13" x14ac:dyDescent="0.25">
      <c r="A11" t="s">
        <v>212</v>
      </c>
      <c r="B11" s="3">
        <f>-'Vývoj cen realistický'!B85</f>
        <v>-616.27379999999994</v>
      </c>
      <c r="C11" s="3">
        <f>-'Vývoj cen realistický'!C85</f>
        <v>-688.89440000000002</v>
      </c>
      <c r="D11" s="3">
        <f>-'Vývoj cen realistický'!D85</f>
        <v>-652.32885714285715</v>
      </c>
      <c r="E11" s="3">
        <f>-'Vývoj cen realistický'!E85</f>
        <v>-665.37543428571428</v>
      </c>
      <c r="F11" s="3">
        <f>-'Vývoj cen realistický'!F85</f>
        <v>-678.68294297142859</v>
      </c>
      <c r="G11" s="3">
        <f>-'Vývoj cen realistický'!G85</f>
        <v>-692.25660183085722</v>
      </c>
      <c r="H11" s="3">
        <f>-'Vývoj cen realistický'!H85</f>
        <v>-706.10173386747442</v>
      </c>
      <c r="I11" s="3">
        <f>-'Vývoj cen realistický'!I85</f>
        <v>-720.22376854482388</v>
      </c>
      <c r="J11" s="3">
        <f>-'Vývoj cen realistický'!J85</f>
        <v>-734.62824391572042</v>
      </c>
      <c r="K11" s="3">
        <f>-'Vývoj cen realistický'!K85</f>
        <v>-749.32080879403475</v>
      </c>
      <c r="L11" s="3">
        <f>-'Vývoj cen realistický'!L85</f>
        <v>-764.3072249699153</v>
      </c>
      <c r="M11" s="3">
        <f t="shared" si="0"/>
        <v>-764.3072249699153</v>
      </c>
    </row>
    <row r="12" spans="1:13" x14ac:dyDescent="0.25">
      <c r="A12" t="s">
        <v>107</v>
      </c>
      <c r="B12" s="3">
        <f>-'Vývoj cen realistický'!B17</f>
        <v>-98761.369299363054</v>
      </c>
      <c r="C12" s="3">
        <v>-85063</v>
      </c>
      <c r="D12" s="3">
        <f>-'Vývoj cen realistický'!D17</f>
        <v>-107198.59317936821</v>
      </c>
      <c r="E12" s="3">
        <f>-'Vývoj cen realistický'!E17</f>
        <v>-92394.258246288256</v>
      </c>
      <c r="F12" s="3">
        <f>-'Vývoj cen realistický'!F17</f>
        <v>-90797.015303541397</v>
      </c>
      <c r="G12" s="3">
        <f>-'Vývoj cen realistický'!G17</f>
        <v>-88850.100745375792</v>
      </c>
      <c r="H12" s="3">
        <f>-'Vývoj cen realistický'!H17</f>
        <v>-88732.105923668758</v>
      </c>
      <c r="I12" s="3">
        <f>-'Vývoj cen realistický'!I17</f>
        <v>-88658.359160101914</v>
      </c>
      <c r="J12" s="3">
        <f>-'Vývoj cen realistický'!J17</f>
        <v>-90431.526343303951</v>
      </c>
      <c r="K12" s="3">
        <f>-'Vývoj cen realistický'!K17</f>
        <v>-92240.156870170045</v>
      </c>
      <c r="L12" s="3">
        <f>-'Vývoj cen realistický'!L17</f>
        <v>-94084.960007573434</v>
      </c>
      <c r="M12" s="3">
        <f t="shared" si="0"/>
        <v>-94084.960007573434</v>
      </c>
    </row>
    <row r="13" spans="1:13" x14ac:dyDescent="0.25">
      <c r="A13" t="s">
        <v>228</v>
      </c>
      <c r="B13" s="3">
        <f>-'Vývoj cen realistický'!B21</f>
        <v>-32889.184445362043</v>
      </c>
      <c r="C13" s="3"/>
      <c r="D13" s="3">
        <f>-'Vývoj cen realistický'!D21</f>
        <v>-36493.204518637111</v>
      </c>
      <c r="E13" s="3">
        <f>-'Vývoj cen realistický'!E21</f>
        <v>-37223.068609009861</v>
      </c>
      <c r="F13" s="3">
        <f>-'Vývoj cen realistický'!F21</f>
        <v>-37967.529981190055</v>
      </c>
      <c r="G13" s="3">
        <f>-'Vývoj cen realistický'!G21</f>
        <v>-38726.880580813864</v>
      </c>
      <c r="H13" s="3">
        <f>-'Vývoj cen realistický'!H21</f>
        <v>-39501.418192430137</v>
      </c>
      <c r="I13" s="3">
        <f>-'Vývoj cen realistický'!I21</f>
        <v>-40291.446556278737</v>
      </c>
      <c r="J13" s="3">
        <f>-'Vývoj cen realistický'!J21</f>
        <v>-41097.275487404317</v>
      </c>
      <c r="K13" s="3">
        <f>-'Vývoj cen realistický'!K21</f>
        <v>-41919.220997152406</v>
      </c>
      <c r="L13" s="3">
        <f>-'Vývoj cen realistický'!L21</f>
        <v>-42757.605417095452</v>
      </c>
      <c r="M13" s="3">
        <f t="shared" si="0"/>
        <v>-42757.605417095452</v>
      </c>
    </row>
    <row r="14" spans="1:13" x14ac:dyDescent="0.25">
      <c r="A14" t="s">
        <v>108</v>
      </c>
      <c r="B14" s="3">
        <f>-'Vývoj cen realistický'!B31</f>
        <v>-9518.2287288801799</v>
      </c>
      <c r="C14" s="3"/>
      <c r="D14" s="3">
        <f>-'Vývoj cen realistický'!D33</f>
        <v>-4188.8696667098948</v>
      </c>
      <c r="E14" s="3">
        <f>-'Vývoj cen realistický'!E33</f>
        <v>-4272.6470600440925</v>
      </c>
      <c r="F14" s="3">
        <f>-'Vývoj cen realistický'!F33</f>
        <v>-4358.1000012449731</v>
      </c>
      <c r="G14" s="3">
        <f>-'Vývoj cen realistický'!G33</f>
        <v>-4445.2620012698735</v>
      </c>
      <c r="H14" s="3">
        <f>-'Vývoj cen realistický'!H33</f>
        <v>-4534.1672412952712</v>
      </c>
      <c r="I14" s="3">
        <f>-'Vývoj cen realistický'!I33</f>
        <v>-4624.8505861211761</v>
      </c>
      <c r="J14" s="3">
        <f>-'Vývoj cen realistický'!J33</f>
        <v>-4728.4997198243182</v>
      </c>
      <c r="K14" s="3">
        <f>-'Vývoj cen realistický'!K33</f>
        <v>-4834.4448786411367</v>
      </c>
      <c r="L14" s="3">
        <f>-'Vývoj cen realistický'!L33</f>
        <v>-4942.7364439226985</v>
      </c>
      <c r="M14" s="3">
        <f t="shared" si="0"/>
        <v>-4942.7364439226985</v>
      </c>
    </row>
    <row r="15" spans="1:13" x14ac:dyDescent="0.25">
      <c r="A15" t="s">
        <v>110</v>
      </c>
      <c r="B15" s="3">
        <f>-'Vývoj cen realistický'!B28</f>
        <v>-8059.2</v>
      </c>
      <c r="C15" s="3"/>
      <c r="D15" s="3">
        <f>-'Vývoj cen realistický'!D28</f>
        <v>-8384.7916800000003</v>
      </c>
      <c r="E15" s="3">
        <f>-'Vývoj cen realistický'!E28</f>
        <v>-8552.487513600001</v>
      </c>
      <c r="F15" s="3">
        <f>-'Vývoj cen realistický'!F28</f>
        <v>-8723.5372638720019</v>
      </c>
      <c r="G15" s="3">
        <f>-'Vývoj cen realistický'!G28</f>
        <v>-8898.0080091494419</v>
      </c>
      <c r="H15" s="3">
        <f>-'Vývoj cen realistický'!H28</f>
        <v>-9075.968169332431</v>
      </c>
      <c r="I15" s="3">
        <f>-'Vývoj cen realistický'!I28</f>
        <v>-9257.4875327190821</v>
      </c>
      <c r="J15" s="3">
        <f>-'Vývoj cen realistický'!J28</f>
        <v>-9448.2612484022738</v>
      </c>
      <c r="K15" s="3">
        <f>-'Vývoj cen realistický'!K28</f>
        <v>-9642.9629176997059</v>
      </c>
      <c r="L15" s="3">
        <f>-'Vývoj cen realistický'!L28</f>
        <v>-9841.6733492696749</v>
      </c>
      <c r="M15" s="3">
        <f t="shared" si="0"/>
        <v>-9841.6733492696749</v>
      </c>
    </row>
    <row r="16" spans="1:13" x14ac:dyDescent="0.25">
      <c r="A16" t="s">
        <v>111</v>
      </c>
      <c r="B16" s="3">
        <f>-'Vývoj cen realistický'!B39</f>
        <v>-426.03550295857985</v>
      </c>
      <c r="C16" s="3"/>
      <c r="D16" s="3">
        <f>-'Vývoj cen realistický'!D39</f>
        <v>-443.2473372781065</v>
      </c>
      <c r="E16" s="3">
        <f>-'Vývoj cen realistický'!E39</f>
        <v>-452.11228402366862</v>
      </c>
      <c r="F16" s="3">
        <f>-'Vývoj cen realistický'!F39</f>
        <v>-461.15452970414202</v>
      </c>
      <c r="G16" s="3">
        <f>-'Vývoj cen realistický'!G39</f>
        <v>-470.37762029822483</v>
      </c>
      <c r="H16" s="3">
        <f>-'Vývoj cen realistický'!H39</f>
        <v>-479.78517270418934</v>
      </c>
      <c r="I16" s="3">
        <f>-'Vývoj cen realistický'!I39</f>
        <v>-489.38087615827305</v>
      </c>
      <c r="J16" s="3">
        <f>-'Vývoj cen realistický'!J39</f>
        <v>-532.44639326020126</v>
      </c>
      <c r="K16" s="3">
        <f>-'Vývoj cen realistický'!K39</f>
        <v>-577.03877869574308</v>
      </c>
      <c r="L16" s="3">
        <f>-'Vývoj cen realistický'!L39</f>
        <v>-623.2018809914025</v>
      </c>
      <c r="M16" s="3">
        <f t="shared" si="0"/>
        <v>-623.2018809914025</v>
      </c>
    </row>
    <row r="17" spans="1:14" x14ac:dyDescent="0.25">
      <c r="A17" s="30" t="s">
        <v>16</v>
      </c>
      <c r="B17" s="3">
        <f>-'Vývoj cen realistický'!B58</f>
        <v>-82829</v>
      </c>
      <c r="C17" s="3">
        <f>-'Vývoj cen realistický'!C58</f>
        <v>-75095</v>
      </c>
      <c r="D17" s="3">
        <f>-'Vývoj cen realistický'!D58</f>
        <v>-76596.899999999994</v>
      </c>
      <c r="E17" s="3">
        <f>-'Vývoj cen realistický'!E58</f>
        <v>-78128.838000000003</v>
      </c>
      <c r="F17" s="3">
        <f>-'Vývoj cen realistický'!F58</f>
        <v>-79691.41476</v>
      </c>
      <c r="G17" s="3">
        <f>-'Vývoj cen realistický'!G58</f>
        <v>-81285.243055200001</v>
      </c>
      <c r="H17" s="3">
        <f>-'Vývoj cen realistický'!H58</f>
        <v>-82910.947916304009</v>
      </c>
      <c r="I17" s="3">
        <f>-'Vývoj cen realistický'!I58</f>
        <v>-84569.166874630086</v>
      </c>
      <c r="J17" s="3">
        <f>-'Vývoj cen realistický'!J58</f>
        <v>-86260.550212122675</v>
      </c>
      <c r="K17" s="3">
        <f>-'Vývoj cen realistický'!K58</f>
        <v>-87985.761216365136</v>
      </c>
      <c r="L17" s="3">
        <f>-'Vývoj cen realistický'!L58</f>
        <v>-89745.476440692422</v>
      </c>
      <c r="M17" s="3">
        <f t="shared" si="0"/>
        <v>-89745.476440692422</v>
      </c>
    </row>
    <row r="18" spans="1:14" x14ac:dyDescent="0.25">
      <c r="A18" s="3" t="str">
        <f>+Rozbor!A70</f>
        <v>nakoupeno EUA</v>
      </c>
      <c r="B18" s="3">
        <f>-'Vývoj cen realistický'!C46</f>
        <v>-10240.36</v>
      </c>
      <c r="C18" s="3">
        <f>-'Vývoj cen realistický'!D46</f>
        <v>-13361.159999999998</v>
      </c>
      <c r="D18" s="3">
        <f>-'Vývoj cen realistický'!E46</f>
        <v>-7076.7547568710361</v>
      </c>
      <c r="E18" s="3">
        <f>-'Vývoj cen realistický'!F46</f>
        <v>-16744.484095584743</v>
      </c>
      <c r="F18" s="3">
        <f>-'Vývoj cen realistický'!G46</f>
        <v>-19323.31589551353</v>
      </c>
      <c r="G18" s="3">
        <f>-'Vývoj cen realistický'!H46</f>
        <v>-21983.731321584655</v>
      </c>
      <c r="H18" s="3">
        <f>-'Vývoj cen realistický'!I46</f>
        <v>-23386.291234703942</v>
      </c>
      <c r="I18" s="3">
        <f>-'Vývoj cen realistický'!J46</f>
        <v>-24809.661927628102</v>
      </c>
      <c r="J18" s="3">
        <f>-'Vývoj cen realistický'!K46</f>
        <v>-26258.977572075444</v>
      </c>
      <c r="K18" s="3">
        <f>-'Vývoj cen realistický'!L46</f>
        <v>-27739.181052502445</v>
      </c>
      <c r="L18" s="3">
        <f>-'Vývoj cen realistický'!M46</f>
        <v>-29255.057585529448</v>
      </c>
      <c r="M18" s="3">
        <f t="shared" si="0"/>
        <v>-29255.057585529448</v>
      </c>
    </row>
    <row r="19" spans="1:14" x14ac:dyDescent="0.25">
      <c r="A19" t="str">
        <f>+Rozbor!A81</f>
        <v>TZL</v>
      </c>
      <c r="B19" s="3">
        <f>-'Vývoj cen realistický'!B103</f>
        <v>-50.4</v>
      </c>
      <c r="C19" s="3">
        <f>-'Vývoj cen realistický'!C103</f>
        <v>-21</v>
      </c>
      <c r="D19" s="3">
        <f>-'Vývoj cen realistický'!D103</f>
        <v>-75.599999999999994</v>
      </c>
      <c r="E19" s="3">
        <f>-'Vývoj cen realistický'!E103</f>
        <v>-100.8</v>
      </c>
      <c r="F19" s="3">
        <f>-'Vývoj cen realistický'!F103</f>
        <v>-126</v>
      </c>
      <c r="G19" s="3">
        <f>-'Vývoj cen realistický'!G103</f>
        <v>-151.19999999999999</v>
      </c>
      <c r="H19" s="3">
        <f>-'Vývoj cen realistický'!H103</f>
        <v>-176.4</v>
      </c>
      <c r="I19" s="3">
        <f>-'Vývoj cen realistický'!I103</f>
        <v>-176.4</v>
      </c>
      <c r="J19" s="3">
        <f>-'Vývoj cen realistický'!J103</f>
        <v>-176.4</v>
      </c>
      <c r="K19" s="3">
        <f>-'Vývoj cen realistický'!K103</f>
        <v>-176.4</v>
      </c>
      <c r="L19" s="3">
        <f>-'Vývoj cen realistický'!L103</f>
        <v>-176.4</v>
      </c>
      <c r="M19" s="3">
        <f t="shared" si="0"/>
        <v>-176.4</v>
      </c>
    </row>
    <row r="20" spans="1:14" x14ac:dyDescent="0.25">
      <c r="A20" t="str">
        <f>+Rozbor!A82</f>
        <v>SO2</v>
      </c>
      <c r="B20" s="3">
        <f>-'Vývoj cen realistický'!B101</f>
        <v>-1252</v>
      </c>
      <c r="C20" s="3">
        <f>-'Vývoj cen realistický'!C101</f>
        <v>-518</v>
      </c>
      <c r="D20" s="3">
        <f>-'Vývoj cen realistický'!D101</f>
        <v>-1252</v>
      </c>
      <c r="E20" s="3">
        <f>-'Vývoj cen realistický'!E101</f>
        <v>-1252</v>
      </c>
      <c r="F20" s="3">
        <f>-'Vývoj cen realistický'!F101</f>
        <v>-1252</v>
      </c>
      <c r="G20" s="3">
        <f>-'Vývoj cen realistický'!G101</f>
        <v>-1252</v>
      </c>
      <c r="H20" s="3">
        <f>-'Vývoj cen realistický'!H101</f>
        <v>-1252</v>
      </c>
      <c r="I20" s="3">
        <f>-'Vývoj cen realistický'!I101</f>
        <v>-1252</v>
      </c>
      <c r="J20" s="3">
        <f>-'Vývoj cen realistický'!J101</f>
        <v>-1252</v>
      </c>
      <c r="K20" s="3">
        <f>-'Vývoj cen realistický'!K101</f>
        <v>-1252</v>
      </c>
      <c r="L20" s="3">
        <f>-'Vývoj cen realistický'!L101</f>
        <v>-1252</v>
      </c>
      <c r="M20" s="3">
        <f t="shared" si="0"/>
        <v>-1252</v>
      </c>
    </row>
    <row r="21" spans="1:14" x14ac:dyDescent="0.25">
      <c r="A21" t="str">
        <f>+Rozbor!A83</f>
        <v>NOX</v>
      </c>
      <c r="B21" s="3">
        <f>-'Vývoj cen realistický'!B105</f>
        <v>-324.5</v>
      </c>
      <c r="C21" s="3">
        <f>-'Vývoj cen realistický'!C105</f>
        <v>-125.4</v>
      </c>
      <c r="D21" s="3">
        <f>-'Vývoj cen realistický'!D105</f>
        <v>-501.5</v>
      </c>
      <c r="E21" s="3">
        <f>-'Vývoj cen realistický'!E105</f>
        <v>-649</v>
      </c>
      <c r="F21" s="3">
        <f>-'Vývoj cen realistický'!F105</f>
        <v>-826</v>
      </c>
      <c r="G21" s="3">
        <f>-'Vývoj cen realistický'!G105</f>
        <v>-973.5</v>
      </c>
      <c r="H21" s="3">
        <f>-'Vývoj cen realistický'!H105</f>
        <v>-1150.5</v>
      </c>
      <c r="I21" s="3">
        <f>-'Vývoj cen realistický'!I105</f>
        <v>-1150.5</v>
      </c>
      <c r="J21" s="3">
        <f>-'Vývoj cen realistický'!J105</f>
        <v>-1150.5</v>
      </c>
      <c r="K21" s="3">
        <f>-'Vývoj cen realistický'!K105</f>
        <v>-1150.5</v>
      </c>
      <c r="L21" s="3">
        <f>-'Vývoj cen realistický'!L105</f>
        <v>-1150.5</v>
      </c>
      <c r="M21" s="3">
        <f t="shared" si="0"/>
        <v>-1150.5</v>
      </c>
    </row>
    <row r="22" spans="1:14" x14ac:dyDescent="0.25">
      <c r="A22" t="str">
        <f>+Rozbor!A17</f>
        <v>Opravy dodavatelské</v>
      </c>
      <c r="B22" s="3">
        <f>-'Vývoj cen realistický'!B108</f>
        <v>-13142</v>
      </c>
      <c r="C22" s="3">
        <f>-'Vývoj cen realistický'!C108</f>
        <v>-11262</v>
      </c>
      <c r="D22" s="3">
        <f>-'Vývoj cen realistický'!D108</f>
        <v>-11487.24</v>
      </c>
      <c r="E22" s="3">
        <f>-'Vývoj cen realistický'!E108</f>
        <v>-11716.9848</v>
      </c>
      <c r="F22" s="3">
        <f>-'Vývoj cen realistický'!F108</f>
        <v>-11951.324496000001</v>
      </c>
      <c r="G22" s="3">
        <f>-'Vývoj cen realistický'!G108</f>
        <v>-12190.350985920002</v>
      </c>
      <c r="H22" s="3">
        <f>-'Vývoj cen realistický'!H108</f>
        <v>-12434.158005638403</v>
      </c>
      <c r="I22" s="3">
        <f>-'Vývoj cen realistický'!I108</f>
        <v>-12682.841165751172</v>
      </c>
      <c r="J22" s="3">
        <f>-'Vývoj cen realistický'!J108</f>
        <v>-12936.497989066194</v>
      </c>
      <c r="K22" s="3">
        <f>-'Vývoj cen realistický'!K108</f>
        <v>-13195.227948847518</v>
      </c>
      <c r="L22" s="3">
        <f>-'Vývoj cen realistický'!L108</f>
        <v>-13459.132507824468</v>
      </c>
      <c r="M22" s="3">
        <f t="shared" si="0"/>
        <v>-13459.132507824468</v>
      </c>
    </row>
    <row r="23" spans="1:14" x14ac:dyDescent="0.25">
      <c r="A23" s="28" t="s">
        <v>359</v>
      </c>
      <c r="B23" s="29">
        <v>8545</v>
      </c>
      <c r="C23" s="29"/>
      <c r="D23" s="28"/>
      <c r="E23" s="28"/>
      <c r="F23" s="28"/>
      <c r="G23" s="28"/>
      <c r="H23" s="28"/>
      <c r="I23" s="28"/>
      <c r="J23" t="s">
        <v>331</v>
      </c>
    </row>
    <row r="24" spans="1:14" x14ac:dyDescent="0.25">
      <c r="A24" s="28" t="s">
        <v>360</v>
      </c>
      <c r="B24" s="29">
        <v>-21808</v>
      </c>
      <c r="C24" s="29"/>
      <c r="D24" s="28"/>
      <c r="E24" s="28"/>
      <c r="F24" s="28"/>
      <c r="G24" s="28"/>
      <c r="H24" s="28"/>
      <c r="I24" s="28"/>
    </row>
    <row r="25" spans="1:14" x14ac:dyDescent="0.25">
      <c r="A25" t="s">
        <v>233</v>
      </c>
      <c r="B25" s="3">
        <f>-'Vývoj cen realistický'!B117</f>
        <v>-3199.9950000000003</v>
      </c>
      <c r="C25" s="3">
        <f>-'Vývoj cen realistický'!C117</f>
        <v>-2669.335</v>
      </c>
      <c r="D25" s="3">
        <f>-'Vývoj cen realistický'!D117</f>
        <v>-2281.42</v>
      </c>
      <c r="E25" s="3">
        <f>-'Vývoj cen realistický'!E117</f>
        <v>-1769.355</v>
      </c>
      <c r="F25" s="3">
        <f>-'Vývoj cen realistický'!F117</f>
        <v>-1358.355</v>
      </c>
      <c r="G25" s="3">
        <f>-'Vývoj cen realistický'!G117</f>
        <v>-947.35500000000002</v>
      </c>
      <c r="H25" s="3">
        <f>-'Vývoj cen realistický'!H117</f>
        <v>-536.35500000000002</v>
      </c>
      <c r="I25" s="3">
        <f>-'Vývoj cen realistický'!I117</f>
        <v>-125.355</v>
      </c>
      <c r="J25" s="3">
        <f>-'Vývoj cen realistický'!J117</f>
        <v>0</v>
      </c>
      <c r="K25" s="3">
        <f>-'Vývoj cen realistický'!K117</f>
        <v>0</v>
      </c>
      <c r="L25" s="3">
        <f>-'Vývoj cen realistický'!L117</f>
        <v>0</v>
      </c>
      <c r="M25" s="3">
        <f>+L25</f>
        <v>0</v>
      </c>
    </row>
    <row r="26" spans="1:14" x14ac:dyDescent="0.25">
      <c r="A26" t="s">
        <v>50</v>
      </c>
      <c r="B26" s="3">
        <f>-'Účetní výkazy 2015'!D28</f>
        <v>-2541</v>
      </c>
      <c r="C26" s="3">
        <f>-((B27+B28)*0.19)</f>
        <v>-1903.6556362528659</v>
      </c>
      <c r="D26" s="3">
        <v>0</v>
      </c>
      <c r="E26" s="3">
        <f>-((D27+D28)*0.19)</f>
        <v>-1292.6831296767543</v>
      </c>
      <c r="F26" s="3">
        <f>-((E27+E28)*0.19)</f>
        <v>-1267.3054280150343</v>
      </c>
      <c r="G26" s="3">
        <f t="shared" ref="G26:I26" si="1">-((F27+F28)*0.19)</f>
        <v>-1322.9876274769451</v>
      </c>
      <c r="H26" s="3">
        <f t="shared" si="1"/>
        <v>-2451.3645143575245</v>
      </c>
      <c r="I26" s="3">
        <f t="shared" si="1"/>
        <v>-3310.5399390715711</v>
      </c>
      <c r="J26" s="3">
        <f t="shared" ref="J26" si="2">-((I27+I28)*0.19)</f>
        <v>-4297.4656939742326</v>
      </c>
      <c r="K26" s="3">
        <f t="shared" ref="K26" si="3">-((J27+J28)*0.19)</f>
        <v>-4892.9319727642724</v>
      </c>
      <c r="L26" s="3">
        <f t="shared" ref="L26:M26" si="4">-((K27+K28)*0.19)</f>
        <v>-5580.3726208842827</v>
      </c>
      <c r="M26" s="3">
        <f t="shared" si="4"/>
        <v>-12498.701023542255</v>
      </c>
    </row>
    <row r="27" spans="1:14" x14ac:dyDescent="0.25">
      <c r="A27" s="1" t="s">
        <v>52</v>
      </c>
      <c r="B27" s="3">
        <f>+SUM(B4:B26)</f>
        <v>54823.661243436138</v>
      </c>
      <c r="C27" s="3">
        <f t="shared" ref="C27:I27" si="5">+SUM(C4:C26)</f>
        <v>66338.495223747144</v>
      </c>
      <c r="D27" s="3">
        <f t="shared" si="5"/>
        <v>39466.595419351339</v>
      </c>
      <c r="E27" s="3">
        <f t="shared" si="5"/>
        <v>39333.02856850018</v>
      </c>
      <c r="F27" s="3">
        <f t="shared" si="5"/>
        <v>39626.092776194448</v>
      </c>
      <c r="G27" s="3">
        <f t="shared" si="5"/>
        <v>45564.918496618549</v>
      </c>
      <c r="H27" s="3">
        <f t="shared" si="5"/>
        <v>50086.894416166164</v>
      </c>
      <c r="I27" s="3">
        <f t="shared" si="5"/>
        <v>55281.240494601225</v>
      </c>
      <c r="J27" s="3">
        <f t="shared" ref="J27:M27" si="6">+SUM(J4:J26)</f>
        <v>58415.273540864589</v>
      </c>
      <c r="K27" s="3">
        <f t="shared" si="6"/>
        <v>62033.382215180434</v>
      </c>
      <c r="L27" s="3">
        <f t="shared" si="6"/>
        <v>65782.636966011865</v>
      </c>
      <c r="M27" s="3">
        <f t="shared" si="6"/>
        <v>58864.308563353894</v>
      </c>
    </row>
    <row r="28" spans="1:14" x14ac:dyDescent="0.25">
      <c r="A28" s="23" t="s">
        <v>282</v>
      </c>
      <c r="B28" s="3">
        <f>-Rozbor!D111</f>
        <v>-44804.42105263158</v>
      </c>
      <c r="C28" s="3">
        <f>-Rozbor!E111</f>
        <v>-32663</v>
      </c>
      <c r="D28" s="3">
        <f>+C28</f>
        <v>-32663</v>
      </c>
      <c r="E28" s="3">
        <f t="shared" ref="E28:I28" si="7">+D28</f>
        <v>-32663</v>
      </c>
      <c r="F28" s="3">
        <f t="shared" si="7"/>
        <v>-32663</v>
      </c>
      <c r="G28" s="3">
        <f t="shared" si="7"/>
        <v>-32663</v>
      </c>
      <c r="H28" s="3">
        <f t="shared" si="7"/>
        <v>-32663</v>
      </c>
      <c r="I28" s="3">
        <f t="shared" si="7"/>
        <v>-32663</v>
      </c>
      <c r="J28" s="3">
        <f t="shared" ref="J28" si="8">+I28</f>
        <v>-32663</v>
      </c>
      <c r="K28" s="3">
        <f t="shared" ref="K28" si="9">+J28</f>
        <v>-32663</v>
      </c>
      <c r="L28" s="3"/>
      <c r="M28" t="s">
        <v>366</v>
      </c>
    </row>
    <row r="29" spans="1:14" x14ac:dyDescent="0.25">
      <c r="A29" s="18" t="s">
        <v>234</v>
      </c>
      <c r="B29" s="3">
        <v>-30000</v>
      </c>
      <c r="C29" s="3">
        <f>-'Vývoj cen realistický'!C113</f>
        <v>-22500</v>
      </c>
      <c r="D29" s="3">
        <f>-'Vývoj cen realistický'!D113</f>
        <v>-25000</v>
      </c>
      <c r="E29" s="3">
        <f>-'Vývoj cen realistický'!E113</f>
        <v>-25000</v>
      </c>
      <c r="F29" s="3">
        <f>-'Vývoj cen realistický'!F113</f>
        <v>-30000</v>
      </c>
      <c r="G29" s="3">
        <f>-'Vývoj cen realistický'!G113</f>
        <v>-30000</v>
      </c>
      <c r="H29" s="3">
        <f>-'Vývoj cen realistický'!H113</f>
        <v>-30000</v>
      </c>
      <c r="I29" s="3">
        <f>-'Vývoj cen realistický'!I113</f>
        <v>-9150</v>
      </c>
      <c r="J29" s="3">
        <f>-'Vývoj cen realistický'!J113</f>
        <v>0</v>
      </c>
      <c r="K29" s="3">
        <f>-'Vývoj cen realistický'!K113</f>
        <v>0</v>
      </c>
      <c r="L29" s="3">
        <f>-'Vývoj cen realistický'!L113</f>
        <v>0</v>
      </c>
      <c r="M29">
        <v>0</v>
      </c>
      <c r="N29" s="3">
        <f>+SUM(D29:M29)</f>
        <v>-149150</v>
      </c>
    </row>
    <row r="30" spans="1:14" x14ac:dyDescent="0.25">
      <c r="A30" s="18" t="s">
        <v>235</v>
      </c>
      <c r="B30" s="3">
        <v>-56634</v>
      </c>
      <c r="C30">
        <v>-28210</v>
      </c>
      <c r="D30">
        <v>-2000</v>
      </c>
      <c r="E30">
        <v>-2000</v>
      </c>
      <c r="F30">
        <v>-2000</v>
      </c>
      <c r="G30">
        <v>-2000</v>
      </c>
      <c r="H30">
        <v>-2000</v>
      </c>
      <c r="I30">
        <v>-2000</v>
      </c>
      <c r="J30">
        <v>-2000</v>
      </c>
      <c r="K30">
        <v>-2000</v>
      </c>
      <c r="L30">
        <v>-2000</v>
      </c>
      <c r="M30">
        <v>-2000</v>
      </c>
    </row>
    <row r="31" spans="1:14" x14ac:dyDescent="0.25">
      <c r="A31" t="s">
        <v>237</v>
      </c>
      <c r="B31" s="3">
        <f>+B27+B29+B30</f>
        <v>-31810.338756563862</v>
      </c>
      <c r="C31" s="3">
        <f t="shared" ref="C31:M31" si="10">+C27+C29+C30</f>
        <v>15628.495223747144</v>
      </c>
      <c r="D31" s="11">
        <f>+D27+D29+D30</f>
        <v>12466.595419351339</v>
      </c>
      <c r="E31" s="11">
        <f t="shared" si="10"/>
        <v>12333.02856850018</v>
      </c>
      <c r="F31" s="11">
        <f t="shared" si="10"/>
        <v>7626.0927761944477</v>
      </c>
      <c r="G31" s="11">
        <f t="shared" si="10"/>
        <v>13564.918496618549</v>
      </c>
      <c r="H31" s="11">
        <f t="shared" si="10"/>
        <v>18086.894416166164</v>
      </c>
      <c r="I31" s="11">
        <f t="shared" si="10"/>
        <v>44131.240494601225</v>
      </c>
      <c r="J31" s="11">
        <f t="shared" si="10"/>
        <v>56415.273540864589</v>
      </c>
      <c r="K31" s="11">
        <f t="shared" si="10"/>
        <v>60033.382215180434</v>
      </c>
      <c r="L31" s="11">
        <f t="shared" si="10"/>
        <v>63782.636966011865</v>
      </c>
      <c r="M31" s="11">
        <f t="shared" si="10"/>
        <v>56864.308563353894</v>
      </c>
    </row>
    <row r="32" spans="1:14" x14ac:dyDescent="0.25"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26" x14ac:dyDescent="0.25">
      <c r="C33" s="3"/>
      <c r="D33" s="34">
        <v>0</v>
      </c>
      <c r="E33" s="34">
        <v>1</v>
      </c>
      <c r="F33" s="34">
        <v>2</v>
      </c>
      <c r="G33" s="34">
        <v>3</v>
      </c>
      <c r="H33" s="34">
        <v>4</v>
      </c>
      <c r="I33" s="34">
        <v>5</v>
      </c>
      <c r="J33" s="34">
        <v>6</v>
      </c>
      <c r="K33" s="34">
        <v>7</v>
      </c>
      <c r="L33" s="34">
        <v>8</v>
      </c>
      <c r="M33" s="11"/>
    </row>
    <row r="34" spans="1:26" x14ac:dyDescent="0.25">
      <c r="C34" s="3"/>
      <c r="D34" s="33">
        <v>2017</v>
      </c>
      <c r="E34" s="33">
        <v>2018</v>
      </c>
      <c r="F34" s="33">
        <v>2019</v>
      </c>
      <c r="G34" s="33">
        <v>2020</v>
      </c>
      <c r="H34" s="33">
        <v>2021</v>
      </c>
      <c r="I34" s="33">
        <v>2022</v>
      </c>
      <c r="J34" s="33">
        <v>2023</v>
      </c>
      <c r="K34" s="33">
        <v>2024</v>
      </c>
      <c r="L34" s="33">
        <v>2025</v>
      </c>
      <c r="M34" s="34" t="s">
        <v>394</v>
      </c>
      <c r="R34" s="33">
        <v>2017</v>
      </c>
      <c r="S34" s="33">
        <v>2018</v>
      </c>
      <c r="T34" s="33">
        <v>2019</v>
      </c>
      <c r="U34" s="33">
        <v>2020</v>
      </c>
      <c r="V34" s="33">
        <v>2021</v>
      </c>
      <c r="W34" s="33">
        <v>2022</v>
      </c>
      <c r="X34" s="33">
        <v>2023</v>
      </c>
      <c r="Y34" s="33">
        <v>2024</v>
      </c>
      <c r="Z34" s="33">
        <v>2025</v>
      </c>
    </row>
    <row r="35" spans="1:26" x14ac:dyDescent="0.25">
      <c r="A35" s="1" t="s">
        <v>395</v>
      </c>
      <c r="D35" s="3">
        <f>+D31</f>
        <v>12466.595419351339</v>
      </c>
      <c r="E35" s="3">
        <f t="shared" ref="E35:L35" si="11">+E31</f>
        <v>12333.02856850018</v>
      </c>
      <c r="F35" s="3">
        <f t="shared" si="11"/>
        <v>7626.0927761944477</v>
      </c>
      <c r="G35" s="3">
        <f t="shared" si="11"/>
        <v>13564.918496618549</v>
      </c>
      <c r="H35" s="3">
        <f t="shared" si="11"/>
        <v>18086.894416166164</v>
      </c>
      <c r="I35" s="3">
        <f t="shared" si="11"/>
        <v>44131.240494601225</v>
      </c>
      <c r="J35" s="3">
        <f t="shared" si="11"/>
        <v>56415.273540864589</v>
      </c>
      <c r="K35" s="3">
        <f t="shared" si="11"/>
        <v>60033.382215180434</v>
      </c>
      <c r="L35" s="3">
        <f t="shared" si="11"/>
        <v>63782.636966011865</v>
      </c>
      <c r="M35" s="3">
        <f>+M31</f>
        <v>56864.308563353894</v>
      </c>
      <c r="Q35" s="1" t="s">
        <v>393</v>
      </c>
      <c r="R35" s="3">
        <f>+D36</f>
        <v>39748.015419351337</v>
      </c>
      <c r="S35" s="3">
        <f t="shared" ref="S35:Z35" si="12">+E36</f>
        <v>39102.383568500183</v>
      </c>
      <c r="T35" s="3">
        <f t="shared" si="12"/>
        <v>38984.447776194451</v>
      </c>
      <c r="U35" s="3">
        <f t="shared" si="12"/>
        <v>44512.273496618553</v>
      </c>
      <c r="V35" s="3">
        <f t="shared" si="12"/>
        <v>48623.249416166167</v>
      </c>
      <c r="W35" s="3">
        <f t="shared" si="12"/>
        <v>53406.595494601228</v>
      </c>
      <c r="X35" s="3">
        <f t="shared" si="12"/>
        <v>56415.273540864589</v>
      </c>
      <c r="Y35" s="3">
        <f t="shared" si="12"/>
        <v>60033.382215180434</v>
      </c>
      <c r="Z35" s="3">
        <f t="shared" si="12"/>
        <v>63782.636966011865</v>
      </c>
    </row>
    <row r="36" spans="1:26" x14ac:dyDescent="0.25">
      <c r="A36" s="1" t="s">
        <v>393</v>
      </c>
      <c r="C36" s="32"/>
      <c r="D36" s="3">
        <f>+D35-D29-D25</f>
        <v>39748.015419351337</v>
      </c>
      <c r="E36" s="3">
        <f t="shared" ref="E36:L36" si="13">+E35-E29-E25</f>
        <v>39102.383568500183</v>
      </c>
      <c r="F36" s="3">
        <f t="shared" si="13"/>
        <v>38984.447776194451</v>
      </c>
      <c r="G36" s="3">
        <f t="shared" si="13"/>
        <v>44512.273496618553</v>
      </c>
      <c r="H36" s="3">
        <f t="shared" si="13"/>
        <v>48623.249416166167</v>
      </c>
      <c r="I36" s="3">
        <f t="shared" si="13"/>
        <v>53406.595494601228</v>
      </c>
      <c r="J36" s="3">
        <f t="shared" si="13"/>
        <v>56415.273540864589</v>
      </c>
      <c r="K36" s="3">
        <f t="shared" si="13"/>
        <v>60033.382215180434</v>
      </c>
      <c r="L36" s="3">
        <f t="shared" si="13"/>
        <v>63782.636966011865</v>
      </c>
      <c r="M36" s="3">
        <f>+M35-M29-M25</f>
        <v>56864.308563353894</v>
      </c>
    </row>
    <row r="37" spans="1:26" x14ac:dyDescent="0.25">
      <c r="A37" s="1" t="s">
        <v>396</v>
      </c>
      <c r="B37" s="36">
        <v>6.5299999999999997E-2</v>
      </c>
      <c r="D37" s="32"/>
    </row>
    <row r="38" spans="1:26" x14ac:dyDescent="0.25">
      <c r="A38" s="3" t="s">
        <v>397</v>
      </c>
    </row>
    <row r="39" spans="1:26" x14ac:dyDescent="0.25">
      <c r="A39" s="1"/>
      <c r="N39" t="s">
        <v>408</v>
      </c>
      <c r="P39" s="39"/>
    </row>
    <row r="40" spans="1:26" x14ac:dyDescent="0.25">
      <c r="A40" s="1" t="s">
        <v>418</v>
      </c>
      <c r="D40" s="3">
        <f>+D36</f>
        <v>39748.015419351337</v>
      </c>
      <c r="E40" s="3">
        <f>+E36/((1+$B$37)^E33)</f>
        <v>36705.51353468524</v>
      </c>
      <c r="F40" s="3">
        <f t="shared" ref="F40:I40" si="14">+F36/((1+$B$37)^F33)</f>
        <v>34351.644500615454</v>
      </c>
      <c r="G40" s="3">
        <f t="shared" si="14"/>
        <v>36818.322347686932</v>
      </c>
      <c r="H40" s="3">
        <f t="shared" si="14"/>
        <v>37753.417485940685</v>
      </c>
      <c r="I40" s="3">
        <f t="shared" si="14"/>
        <v>38925.594917858631</v>
      </c>
      <c r="J40" s="3">
        <f>+J36/((1+$B$37)^J33)</f>
        <v>38598.029714196266</v>
      </c>
      <c r="K40" s="3">
        <f>+K36/((1+$B$37)^K33)</f>
        <v>38555.764824221071</v>
      </c>
      <c r="L40" s="3">
        <f>+L36/((1+$B$37)^L33)</f>
        <v>38452.71898836836</v>
      </c>
      <c r="M40" s="3">
        <f>+(M36)/(B37-P41)</f>
        <v>755170.10044294689</v>
      </c>
      <c r="N40" t="s">
        <v>398</v>
      </c>
      <c r="P40" s="35"/>
    </row>
    <row r="41" spans="1:26" x14ac:dyDescent="0.25">
      <c r="A41" s="1" t="s">
        <v>412</v>
      </c>
      <c r="B41" s="3">
        <f>+SUM(D40:L40)</f>
        <v>339909.02173292398</v>
      </c>
      <c r="N41" t="s">
        <v>409</v>
      </c>
      <c r="P41" s="39">
        <v>-0.01</v>
      </c>
    </row>
    <row r="42" spans="1:26" x14ac:dyDescent="0.25">
      <c r="A42" s="1" t="s">
        <v>411</v>
      </c>
      <c r="B42" s="3">
        <f>+SUM(D40:L40)+(M40/(1+B37)^L33)</f>
        <v>795179.37495184678</v>
      </c>
      <c r="D42">
        <f>+B41/M40</f>
        <v>0.45010921583567665</v>
      </c>
    </row>
    <row r="43" spans="1:26" x14ac:dyDescent="0.25">
      <c r="A43" s="1" t="s">
        <v>413</v>
      </c>
      <c r="B43" s="3">
        <f>-N29</f>
        <v>149150</v>
      </c>
    </row>
    <row r="44" spans="1:26" x14ac:dyDescent="0.25">
      <c r="A44" s="1" t="s">
        <v>414</v>
      </c>
      <c r="B44" s="3">
        <f>+B42-B43</f>
        <v>646029.37495184678</v>
      </c>
      <c r="C44" s="3">
        <f>+B42+N29</f>
        <v>646029.37495184678</v>
      </c>
    </row>
    <row r="45" spans="1:26" x14ac:dyDescent="0.25">
      <c r="A45" s="1"/>
    </row>
    <row r="46" spans="1:26" x14ac:dyDescent="0.25">
      <c r="A46" s="1" t="s">
        <v>400</v>
      </c>
      <c r="B46" s="36">
        <v>9.8199999999999996E-2</v>
      </c>
      <c r="C46" s="36">
        <v>9.8199999999999996E-2</v>
      </c>
    </row>
    <row r="48" spans="1:26" x14ac:dyDescent="0.25">
      <c r="A48" s="1" t="s">
        <v>417</v>
      </c>
      <c r="D48" s="3">
        <f>+D35</f>
        <v>12466.595419351339</v>
      </c>
      <c r="E48" s="3">
        <f t="shared" ref="E48:L48" si="15">+E35/(1+$B$46)^E33</f>
        <v>11230.22087825549</v>
      </c>
      <c r="F48" s="3">
        <f t="shared" si="15"/>
        <v>6323.2332998230204</v>
      </c>
      <c r="G48" s="3">
        <f t="shared" si="15"/>
        <v>10241.719343407105</v>
      </c>
      <c r="H48" s="3">
        <f t="shared" si="15"/>
        <v>12434.784004666608</v>
      </c>
      <c r="I48" s="3">
        <f t="shared" si="15"/>
        <v>27627.331475505369</v>
      </c>
      <c r="J48" s="3">
        <f t="shared" si="15"/>
        <v>32159.40922036851</v>
      </c>
      <c r="K48" s="3">
        <f t="shared" si="15"/>
        <v>31161.814366180301</v>
      </c>
      <c r="L48" s="3">
        <f t="shared" si="15"/>
        <v>30147.475808056315</v>
      </c>
      <c r="M48" s="3">
        <f>+(M35)/(B46-P40)</f>
        <v>579066.27864922502</v>
      </c>
    </row>
    <row r="49" spans="1:2" x14ac:dyDescent="0.25">
      <c r="A49" s="1"/>
    </row>
    <row r="50" spans="1:2" x14ac:dyDescent="0.25">
      <c r="A50" s="1" t="s">
        <v>412</v>
      </c>
      <c r="B50" s="3">
        <f>+SUM(D48:L48)</f>
        <v>173792.58381561405</v>
      </c>
    </row>
    <row r="51" spans="1:2" x14ac:dyDescent="0.25">
      <c r="A51" s="1" t="s">
        <v>414</v>
      </c>
      <c r="B51" s="3">
        <f>+B50+(M48/((1+B46)^L33))</f>
        <v>447493.82066070253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7"/>
  <sheetViews>
    <sheetView topLeftCell="A106" zoomScale="85" zoomScaleNormal="85" workbookViewId="0">
      <selection activeCell="M4" sqref="M4"/>
    </sheetView>
  </sheetViews>
  <sheetFormatPr defaultRowHeight="15" x14ac:dyDescent="0.25"/>
  <cols>
    <col min="1" max="1" width="25.5703125" customWidth="1"/>
    <col min="2" max="2" width="11" customWidth="1"/>
    <col min="3" max="3" width="9.140625" bestFit="1" customWidth="1"/>
    <col min="4" max="4" width="10.42578125" bestFit="1" customWidth="1"/>
    <col min="5" max="9" width="9.140625" bestFit="1" customWidth="1"/>
    <col min="13" max="13" width="9.7109375" customWidth="1"/>
    <col min="27" max="28" width="7.85546875" bestFit="1" customWidth="1"/>
    <col min="29" max="29" width="17.85546875" customWidth="1"/>
  </cols>
  <sheetData>
    <row r="1" spans="1:35" x14ac:dyDescent="0.25">
      <c r="A1" s="1" t="s">
        <v>362</v>
      </c>
    </row>
    <row r="2" spans="1:35" x14ac:dyDescent="0.25"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  <c r="I2">
        <v>2022</v>
      </c>
      <c r="J2">
        <v>2023</v>
      </c>
      <c r="K2">
        <v>2024</v>
      </c>
      <c r="L2">
        <v>2025</v>
      </c>
      <c r="O2" t="s">
        <v>246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</row>
    <row r="3" spans="1:35" x14ac:dyDescent="0.25">
      <c r="A3" t="s">
        <v>363</v>
      </c>
      <c r="B3" s="26">
        <v>24.6</v>
      </c>
      <c r="C3" s="26">
        <v>24.431999999999999</v>
      </c>
      <c r="D3" s="26">
        <f>1/D4</f>
        <v>23.441162681669013</v>
      </c>
      <c r="E3" s="26">
        <f>1/E4</f>
        <v>23.15565229472514</v>
      </c>
      <c r="F3" s="26">
        <v>23.88</v>
      </c>
      <c r="G3" s="26">
        <f>+F3+F3*$M$3</f>
        <v>23.88</v>
      </c>
      <c r="H3" s="26">
        <f t="shared" ref="H3:L3" si="0">+G3+G3*$M$3</f>
        <v>23.88</v>
      </c>
      <c r="I3" s="26">
        <f t="shared" si="0"/>
        <v>23.88</v>
      </c>
      <c r="J3" s="26">
        <f t="shared" si="0"/>
        <v>23.88</v>
      </c>
      <c r="K3" s="26">
        <f t="shared" si="0"/>
        <v>23.88</v>
      </c>
      <c r="L3" s="26">
        <f t="shared" si="0"/>
        <v>23.88</v>
      </c>
      <c r="M3" s="25">
        <v>0</v>
      </c>
      <c r="P3" s="22" t="s">
        <v>254</v>
      </c>
      <c r="Q3" s="14">
        <v>65.22</v>
      </c>
      <c r="R3" s="14">
        <v>48.23</v>
      </c>
      <c r="S3" s="14">
        <v>77.180000000000007</v>
      </c>
      <c r="T3" s="14">
        <v>67.5</v>
      </c>
      <c r="U3" s="14">
        <v>61.95</v>
      </c>
      <c r="V3" s="14">
        <v>60.24</v>
      </c>
      <c r="W3" s="14">
        <v>60.16</v>
      </c>
      <c r="X3" s="14">
        <v>60.11</v>
      </c>
    </row>
    <row r="4" spans="1:35" x14ac:dyDescent="0.25">
      <c r="A4" t="s">
        <v>373</v>
      </c>
      <c r="D4">
        <v>4.2659999999999997E-2</v>
      </c>
      <c r="E4">
        <v>4.3186000000000002E-2</v>
      </c>
      <c r="P4" t="s">
        <v>255</v>
      </c>
      <c r="Q4" s="14">
        <v>57.42</v>
      </c>
      <c r="R4" s="14">
        <v>43.86</v>
      </c>
      <c r="S4" s="14">
        <v>79.45</v>
      </c>
      <c r="T4" s="14">
        <v>67.5</v>
      </c>
      <c r="U4" s="14">
        <v>61.95</v>
      </c>
      <c r="V4" s="14">
        <v>60.24</v>
      </c>
      <c r="W4" s="14">
        <v>60.16</v>
      </c>
      <c r="X4" s="14">
        <v>60.11</v>
      </c>
    </row>
    <row r="5" spans="1:35" x14ac:dyDescent="0.25">
      <c r="A5" t="s">
        <v>364</v>
      </c>
      <c r="B5" s="26"/>
      <c r="C5" s="26"/>
      <c r="D5" s="26">
        <f>1/D6</f>
        <v>26.427061310782243</v>
      </c>
      <c r="E5" s="26">
        <f>1/E6</f>
        <v>26.375481352534681</v>
      </c>
      <c r="F5" s="26">
        <f>+E5+E5*$M$5</f>
        <v>26.243603945772009</v>
      </c>
      <c r="G5" s="26">
        <f t="shared" ref="G5:L5" si="1">+F5+F5*$M$5</f>
        <v>26.112385926043149</v>
      </c>
      <c r="H5" s="26">
        <f t="shared" si="1"/>
        <v>25.981823996412935</v>
      </c>
      <c r="I5" s="26">
        <f t="shared" si="1"/>
        <v>25.851914876430872</v>
      </c>
      <c r="J5" s="26">
        <f t="shared" si="1"/>
        <v>25.722655302048718</v>
      </c>
      <c r="K5" s="26">
        <f t="shared" si="1"/>
        <v>25.594042025538474</v>
      </c>
      <c r="L5" s="26">
        <f t="shared" si="1"/>
        <v>25.466071815410782</v>
      </c>
      <c r="M5" s="25">
        <v>-5.0000000000000001E-3</v>
      </c>
      <c r="P5" t="s">
        <v>256</v>
      </c>
      <c r="Q5" s="14">
        <v>63.52</v>
      </c>
      <c r="R5" s="14">
        <v>44.7</v>
      </c>
      <c r="S5" s="14">
        <v>81.5</v>
      </c>
      <c r="T5" s="14">
        <v>67.5</v>
      </c>
      <c r="U5" s="14">
        <v>61.95</v>
      </c>
      <c r="V5" s="14">
        <v>60.24</v>
      </c>
      <c r="W5" s="14">
        <v>60.16</v>
      </c>
      <c r="X5" s="14">
        <v>60.11</v>
      </c>
    </row>
    <row r="6" spans="1:35" x14ac:dyDescent="0.25">
      <c r="A6" t="s">
        <v>373</v>
      </c>
      <c r="D6">
        <v>3.7839999999999999E-2</v>
      </c>
      <c r="E6">
        <v>3.7914000000000003E-2</v>
      </c>
      <c r="N6" s="25"/>
      <c r="P6" t="s">
        <v>257</v>
      </c>
      <c r="Q6" s="14">
        <v>57.98</v>
      </c>
      <c r="R6" s="14">
        <v>44.74</v>
      </c>
      <c r="S6" s="14">
        <v>75.25</v>
      </c>
      <c r="T6" s="14">
        <v>64.97</v>
      </c>
      <c r="U6" s="14">
        <v>61.43</v>
      </c>
      <c r="V6" s="14">
        <v>60.24</v>
      </c>
      <c r="W6" s="14">
        <v>60.16</v>
      </c>
      <c r="X6" s="14">
        <v>60.11</v>
      </c>
    </row>
    <row r="7" spans="1:35" x14ac:dyDescent="0.25">
      <c r="N7" s="25"/>
      <c r="P7" t="s">
        <v>258</v>
      </c>
      <c r="Q7" s="14">
        <v>59.9</v>
      </c>
      <c r="R7" s="14">
        <v>45.56</v>
      </c>
      <c r="S7" s="14">
        <v>75.5</v>
      </c>
      <c r="T7" s="14">
        <v>64.97</v>
      </c>
      <c r="U7" s="14">
        <v>61.43</v>
      </c>
      <c r="V7" s="14">
        <v>60.24</v>
      </c>
      <c r="W7" s="14">
        <v>60.16</v>
      </c>
      <c r="X7" s="14">
        <v>60.11</v>
      </c>
    </row>
    <row r="8" spans="1:35" x14ac:dyDescent="0.25">
      <c r="A8" s="1" t="s">
        <v>107</v>
      </c>
      <c r="J8" t="s">
        <v>222</v>
      </c>
      <c r="L8" s="25">
        <v>25.12</v>
      </c>
      <c r="M8" t="s">
        <v>188</v>
      </c>
      <c r="P8" t="s">
        <v>259</v>
      </c>
      <c r="Q8" s="14">
        <v>57.88</v>
      </c>
      <c r="R8" s="14">
        <v>48.78</v>
      </c>
      <c r="S8" s="14">
        <v>72.650000000000006</v>
      </c>
      <c r="T8" s="14">
        <v>64.97</v>
      </c>
      <c r="U8" s="14">
        <v>61.43</v>
      </c>
      <c r="V8" s="14">
        <v>60.24</v>
      </c>
      <c r="W8" s="14">
        <v>60.16</v>
      </c>
      <c r="X8" s="14">
        <v>60.11</v>
      </c>
    </row>
    <row r="9" spans="1:35" x14ac:dyDescent="0.25">
      <c r="A9" t="s">
        <v>244</v>
      </c>
      <c r="J9" t="s">
        <v>290</v>
      </c>
      <c r="L9" s="25">
        <f>+Parmetry!J43</f>
        <v>15.114869340898286</v>
      </c>
      <c r="M9" t="s">
        <v>188</v>
      </c>
      <c r="P9" t="s">
        <v>260</v>
      </c>
      <c r="Q9" s="14">
        <v>59.88</v>
      </c>
      <c r="R9" s="14">
        <v>53.29</v>
      </c>
      <c r="S9" s="14">
        <v>72.099999999999994</v>
      </c>
      <c r="T9" s="14">
        <v>63.6</v>
      </c>
      <c r="U9" s="14">
        <v>61.43</v>
      </c>
      <c r="V9" s="14">
        <v>60.24</v>
      </c>
      <c r="W9" s="14">
        <v>60.16</v>
      </c>
      <c r="X9" s="14">
        <v>60.11</v>
      </c>
    </row>
    <row r="10" spans="1:35" x14ac:dyDescent="0.25">
      <c r="A10" t="s">
        <v>245</v>
      </c>
      <c r="P10" t="s">
        <v>261</v>
      </c>
      <c r="Q10" s="14">
        <v>56.47</v>
      </c>
      <c r="R10" s="14">
        <v>59.02</v>
      </c>
      <c r="S10" s="14">
        <v>71.900000000000006</v>
      </c>
      <c r="T10" s="14">
        <v>63.6</v>
      </c>
      <c r="U10" s="14">
        <v>61.43</v>
      </c>
      <c r="V10" s="14">
        <v>60.24</v>
      </c>
      <c r="W10" s="14">
        <v>60.16</v>
      </c>
      <c r="X10" s="14">
        <v>60.11</v>
      </c>
    </row>
    <row r="11" spans="1:35" x14ac:dyDescent="0.25">
      <c r="E11" t="s">
        <v>289</v>
      </c>
      <c r="P11" t="s">
        <v>262</v>
      </c>
      <c r="Q11" s="14">
        <v>54.87</v>
      </c>
      <c r="R11" s="14">
        <v>61.51</v>
      </c>
      <c r="S11" s="14">
        <v>71.400000000000006</v>
      </c>
      <c r="T11" s="14">
        <v>63.6</v>
      </c>
      <c r="U11" s="14">
        <v>61.43</v>
      </c>
      <c r="V11" s="14">
        <v>60.24</v>
      </c>
      <c r="W11" s="14">
        <v>60.16</v>
      </c>
      <c r="X11" s="14">
        <v>60.11</v>
      </c>
    </row>
    <row r="12" spans="1:35" x14ac:dyDescent="0.25">
      <c r="B12">
        <v>2015</v>
      </c>
      <c r="C12">
        <v>2016</v>
      </c>
      <c r="D12">
        <v>2017</v>
      </c>
      <c r="E12">
        <v>2018</v>
      </c>
      <c r="F12">
        <v>2019</v>
      </c>
      <c r="G12">
        <v>2020</v>
      </c>
      <c r="H12">
        <v>2021</v>
      </c>
      <c r="I12">
        <v>2022</v>
      </c>
      <c r="J12">
        <v>2023</v>
      </c>
      <c r="K12">
        <v>2024</v>
      </c>
      <c r="L12">
        <v>2025</v>
      </c>
      <c r="P12" t="s">
        <v>263</v>
      </c>
      <c r="Q12" s="14">
        <v>51.32</v>
      </c>
      <c r="R12" s="14">
        <v>72.510000000000005</v>
      </c>
      <c r="S12" s="14">
        <v>70.989999999999995</v>
      </c>
      <c r="T12" s="14">
        <v>62.34</v>
      </c>
      <c r="U12" s="14">
        <v>61.43</v>
      </c>
      <c r="V12" s="14">
        <v>60.24</v>
      </c>
      <c r="W12" s="14">
        <v>60.16</v>
      </c>
      <c r="X12" s="14">
        <v>60.11</v>
      </c>
      <c r="AA12" s="13">
        <v>2017</v>
      </c>
      <c r="AB12" s="13">
        <v>2018</v>
      </c>
      <c r="AC12" s="13">
        <v>2019</v>
      </c>
      <c r="AD12" s="13">
        <v>2020</v>
      </c>
      <c r="AE12" s="13">
        <v>2021</v>
      </c>
      <c r="AF12" s="13">
        <v>2022</v>
      </c>
      <c r="AG12" s="13">
        <v>2023</v>
      </c>
      <c r="AH12" s="13">
        <v>2024</v>
      </c>
      <c r="AI12" s="13">
        <v>2025</v>
      </c>
    </row>
    <row r="13" spans="1:35" x14ac:dyDescent="0.25">
      <c r="A13" t="s">
        <v>247</v>
      </c>
      <c r="B13" s="26">
        <v>65</v>
      </c>
      <c r="C13" s="26">
        <f t="shared" ref="C13:H13" si="2">+R15</f>
        <v>57.742500000000007</v>
      </c>
      <c r="D13" s="26">
        <f t="shared" si="2"/>
        <v>74.040833333333339</v>
      </c>
      <c r="E13" s="26">
        <f t="shared" si="2"/>
        <v>64.60250000000002</v>
      </c>
      <c r="F13" s="26">
        <f t="shared" si="2"/>
        <v>61.559999999999995</v>
      </c>
      <c r="G13" s="26">
        <f>+V15</f>
        <v>60.24</v>
      </c>
      <c r="H13" s="26">
        <f t="shared" si="2"/>
        <v>60.159999999999975</v>
      </c>
      <c r="I13" s="26">
        <f>+X15</f>
        <v>60.110000000000007</v>
      </c>
      <c r="J13" s="26">
        <f>+I13+I13*$N$13</f>
        <v>61.312200000000004</v>
      </c>
      <c r="K13" s="26">
        <f t="shared" ref="K13:L13" si="3">+J13+J13*$N$13</f>
        <v>62.538444000000005</v>
      </c>
      <c r="L13" s="26">
        <f t="shared" si="3"/>
        <v>63.789212880000008</v>
      </c>
      <c r="M13" t="s">
        <v>401</v>
      </c>
      <c r="N13">
        <v>0.02</v>
      </c>
      <c r="P13" t="s">
        <v>264</v>
      </c>
      <c r="Q13" s="14">
        <v>52</v>
      </c>
      <c r="R13" s="14">
        <v>86.89</v>
      </c>
      <c r="S13" s="14">
        <v>70.56</v>
      </c>
      <c r="T13" s="14">
        <v>62.34</v>
      </c>
      <c r="U13" s="14">
        <v>61.43</v>
      </c>
      <c r="V13" s="14">
        <v>60.24</v>
      </c>
      <c r="W13" s="14">
        <v>60.16</v>
      </c>
      <c r="X13" s="14">
        <v>60.11</v>
      </c>
      <c r="Z13" s="14" t="s">
        <v>247</v>
      </c>
      <c r="AA13" s="14">
        <v>74.040833333333339</v>
      </c>
      <c r="AB13" s="14">
        <v>64.60250000000002</v>
      </c>
      <c r="AC13" s="14">
        <v>61.559999999999995</v>
      </c>
      <c r="AD13" s="14">
        <v>60.24</v>
      </c>
      <c r="AE13" s="14">
        <v>60.159999999999975</v>
      </c>
      <c r="AF13" s="14">
        <v>60.110000000000007</v>
      </c>
      <c r="AG13" s="14">
        <v>61.312200000000004</v>
      </c>
      <c r="AH13" s="14">
        <v>62.538444000000005</v>
      </c>
      <c r="AI13" s="14">
        <v>63.789212880000008</v>
      </c>
    </row>
    <row r="14" spans="1:35" x14ac:dyDescent="0.25">
      <c r="A14" t="s">
        <v>291</v>
      </c>
      <c r="B14" s="26">
        <f t="shared" ref="B14:I14" si="4">+(0.8*B13/$L$8)*B3</f>
        <v>50.923566878980886</v>
      </c>
      <c r="C14" s="26">
        <f t="shared" si="4"/>
        <v>44.928814012738862</v>
      </c>
      <c r="D14" s="26">
        <f t="shared" si="4"/>
        <v>55.273987874299635</v>
      </c>
      <c r="E14" s="26">
        <f t="shared" si="4"/>
        <v>47.640542272929338</v>
      </c>
      <c r="F14" s="26">
        <f t="shared" si="4"/>
        <v>46.816968152866238</v>
      </c>
      <c r="G14" s="26">
        <f t="shared" si="4"/>
        <v>45.813095541401275</v>
      </c>
      <c r="H14" s="26">
        <f t="shared" si="4"/>
        <v>45.75225477707005</v>
      </c>
      <c r="I14" s="26">
        <f t="shared" si="4"/>
        <v>45.714229299363062</v>
      </c>
      <c r="J14" s="26">
        <f t="shared" ref="J14:L14" si="5">+(0.8*J13/$L$8)*J3</f>
        <v>46.628513885350316</v>
      </c>
      <c r="K14" s="26">
        <f t="shared" si="5"/>
        <v>47.56108416305733</v>
      </c>
      <c r="L14" s="26">
        <f t="shared" si="5"/>
        <v>48.512305846318476</v>
      </c>
      <c r="P14" s="22" t="s">
        <v>265</v>
      </c>
      <c r="Q14" s="14">
        <v>49.53</v>
      </c>
      <c r="R14" s="14">
        <v>83.82</v>
      </c>
      <c r="S14" s="14">
        <v>70.010000000000005</v>
      </c>
      <c r="T14" s="14">
        <v>62.34</v>
      </c>
      <c r="U14" s="14">
        <v>61.43</v>
      </c>
      <c r="V14" s="14">
        <v>60.24</v>
      </c>
      <c r="W14" s="14">
        <v>60.16</v>
      </c>
      <c r="X14" s="14">
        <v>60.11</v>
      </c>
    </row>
    <row r="15" spans="1:35" x14ac:dyDescent="0.25">
      <c r="A15" t="s">
        <v>299</v>
      </c>
      <c r="B15" s="26">
        <f t="shared" ref="B15:I15" si="6">+B14*$L$9</f>
        <v>769.70305974829159</v>
      </c>
      <c r="C15" s="26">
        <f t="shared" si="6"/>
        <v>679.09315344406787</v>
      </c>
      <c r="D15" s="26">
        <f t="shared" si="6"/>
        <v>835.45910467043518</v>
      </c>
      <c r="E15" s="26">
        <f t="shared" si="6"/>
        <v>720.08057178486843</v>
      </c>
      <c r="F15" s="26">
        <f t="shared" si="6"/>
        <v>707.63235656756933</v>
      </c>
      <c r="G15" s="26">
        <f t="shared" si="6"/>
        <v>692.45895321037005</v>
      </c>
      <c r="H15" s="26">
        <f t="shared" si="6"/>
        <v>691.5393530069033</v>
      </c>
      <c r="I15" s="26">
        <f t="shared" si="6"/>
        <v>690.96460287973684</v>
      </c>
      <c r="J15" s="26">
        <f t="shared" ref="J15:L15" si="7">+J14*$L$9</f>
        <v>704.78389493733152</v>
      </c>
      <c r="K15" s="26">
        <f t="shared" si="7"/>
        <v>718.8795728360783</v>
      </c>
      <c r="L15" s="26">
        <f t="shared" si="7"/>
        <v>733.25716429279987</v>
      </c>
      <c r="P15" s="22" t="s">
        <v>288</v>
      </c>
      <c r="Q15" s="14">
        <f t="shared" ref="Q15:X15" si="8">+AVERAGE(Q3:Q14)</f>
        <v>57.165833333333332</v>
      </c>
      <c r="R15" s="14">
        <f t="shared" si="8"/>
        <v>57.742500000000007</v>
      </c>
      <c r="S15" s="14">
        <f t="shared" si="8"/>
        <v>74.040833333333339</v>
      </c>
      <c r="T15" s="14">
        <f t="shared" si="8"/>
        <v>64.60250000000002</v>
      </c>
      <c r="U15" s="14">
        <f t="shared" si="8"/>
        <v>61.559999999999995</v>
      </c>
      <c r="V15" s="14">
        <f t="shared" si="8"/>
        <v>60.24</v>
      </c>
      <c r="W15" s="14">
        <f t="shared" si="8"/>
        <v>60.159999999999975</v>
      </c>
      <c r="X15" s="14">
        <f t="shared" si="8"/>
        <v>60.110000000000007</v>
      </c>
    </row>
    <row r="16" spans="1:35" x14ac:dyDescent="0.25">
      <c r="A16" t="s">
        <v>292</v>
      </c>
      <c r="B16" s="3">
        <f>+Parmetry!I43</f>
        <v>1939404</v>
      </c>
      <c r="C16" s="3"/>
      <c r="D16" s="3">
        <f>+$B$16</f>
        <v>1939404</v>
      </c>
      <c r="E16" s="3">
        <f t="shared" ref="E16:L16" si="9">+$B$16</f>
        <v>1939404</v>
      </c>
      <c r="F16" s="3">
        <f t="shared" si="9"/>
        <v>1939404</v>
      </c>
      <c r="G16" s="3">
        <f t="shared" si="9"/>
        <v>1939404</v>
      </c>
      <c r="H16" s="3">
        <f t="shared" si="9"/>
        <v>1939404</v>
      </c>
      <c r="I16" s="3">
        <f t="shared" si="9"/>
        <v>1939404</v>
      </c>
      <c r="J16" s="3">
        <f t="shared" si="9"/>
        <v>1939404</v>
      </c>
      <c r="K16" s="3">
        <f t="shared" si="9"/>
        <v>1939404</v>
      </c>
      <c r="L16" s="3">
        <f t="shared" si="9"/>
        <v>1939404</v>
      </c>
      <c r="P16" t="s">
        <v>351</v>
      </c>
      <c r="R16">
        <f>+R15/Q15-1</f>
        <v>1.008761060656882E-2</v>
      </c>
      <c r="S16">
        <f t="shared" ref="S16:X16" si="10">+S15/R15-1</f>
        <v>0.28225887921952331</v>
      </c>
      <c r="T16">
        <f t="shared" si="10"/>
        <v>-0.12747470427354257</v>
      </c>
      <c r="U16">
        <f t="shared" si="10"/>
        <v>-4.7095700630780946E-2</v>
      </c>
      <c r="V16">
        <f t="shared" si="10"/>
        <v>-2.1442495126705596E-2</v>
      </c>
      <c r="W16">
        <f t="shared" si="10"/>
        <v>-1.3280212483404163E-3</v>
      </c>
      <c r="X16">
        <f t="shared" si="10"/>
        <v>-8.3111702127602882E-4</v>
      </c>
    </row>
    <row r="17" spans="1:36" x14ac:dyDescent="0.25">
      <c r="A17" t="s">
        <v>293</v>
      </c>
      <c r="B17" s="3">
        <f>+B14*B16/1000</f>
        <v>98761.369299363054</v>
      </c>
      <c r="C17" s="3"/>
      <c r="D17" s="3">
        <f t="shared" ref="D17:L17" si="11">+D14*D16/1000</f>
        <v>107198.59317936821</v>
      </c>
      <c r="E17" s="3">
        <f>+E14*E16/1000</f>
        <v>92394.258246288256</v>
      </c>
      <c r="F17" s="3">
        <f t="shared" si="11"/>
        <v>90797.015303541397</v>
      </c>
      <c r="G17" s="3">
        <f t="shared" si="11"/>
        <v>88850.100745375792</v>
      </c>
      <c r="H17" s="3">
        <f t="shared" si="11"/>
        <v>88732.105923668758</v>
      </c>
      <c r="I17" s="3">
        <f t="shared" si="11"/>
        <v>88658.359160101914</v>
      </c>
      <c r="J17" s="3">
        <f t="shared" si="11"/>
        <v>90431.526343303951</v>
      </c>
      <c r="K17" s="3">
        <f t="shared" si="11"/>
        <v>92240.156870170045</v>
      </c>
      <c r="L17" s="3">
        <f t="shared" si="11"/>
        <v>94084.960007573434</v>
      </c>
      <c r="P17" t="s">
        <v>389</v>
      </c>
      <c r="T17">
        <f>-T16</f>
        <v>0.12747470427354257</v>
      </c>
      <c r="U17">
        <f t="shared" ref="U17:X17" si="12">-U16</f>
        <v>4.7095700630780946E-2</v>
      </c>
      <c r="V17">
        <f t="shared" si="12"/>
        <v>2.1442495126705596E-2</v>
      </c>
      <c r="W17">
        <f t="shared" si="12"/>
        <v>1.3280212483404163E-3</v>
      </c>
      <c r="X17">
        <f t="shared" si="12"/>
        <v>8.3111702127602882E-4</v>
      </c>
    </row>
    <row r="18" spans="1:36" x14ac:dyDescent="0.25">
      <c r="A18" t="s">
        <v>316</v>
      </c>
      <c r="B18">
        <f>+B16/$L$9</f>
        <v>128311</v>
      </c>
      <c r="D18">
        <f t="shared" ref="D18:I18" si="13">+D16/$L$9</f>
        <v>128311</v>
      </c>
      <c r="E18">
        <f t="shared" si="13"/>
        <v>128311</v>
      </c>
      <c r="F18">
        <f t="shared" si="13"/>
        <v>128311</v>
      </c>
      <c r="G18">
        <f t="shared" si="13"/>
        <v>128311</v>
      </c>
      <c r="H18">
        <f t="shared" si="13"/>
        <v>128311</v>
      </c>
      <c r="I18">
        <f t="shared" si="13"/>
        <v>128311</v>
      </c>
      <c r="J18">
        <f t="shared" ref="J18:L18" si="14">+J16/$L$9</f>
        <v>128311</v>
      </c>
      <c r="K18">
        <f t="shared" si="14"/>
        <v>128311</v>
      </c>
      <c r="L18">
        <f t="shared" si="14"/>
        <v>128311</v>
      </c>
      <c r="P18" t="s">
        <v>390</v>
      </c>
      <c r="Q18">
        <f>+GEOMEAN(T17:X17)</f>
        <v>1.0727772602867822E-2</v>
      </c>
    </row>
    <row r="19" spans="1:36" x14ac:dyDescent="0.25">
      <c r="B19" s="3"/>
      <c r="AB19">
        <v>2017</v>
      </c>
      <c r="AC19">
        <v>2018</v>
      </c>
      <c r="AD19">
        <v>2019</v>
      </c>
      <c r="AE19">
        <v>2020</v>
      </c>
      <c r="AF19">
        <v>2021</v>
      </c>
      <c r="AG19">
        <v>2022</v>
      </c>
      <c r="AH19">
        <v>2023</v>
      </c>
      <c r="AI19">
        <v>2024</v>
      </c>
      <c r="AJ19">
        <v>2025</v>
      </c>
    </row>
    <row r="20" spans="1:36" x14ac:dyDescent="0.25">
      <c r="A20" t="s">
        <v>300</v>
      </c>
      <c r="B20" s="3">
        <f>+Rozbor!D14-'Vývoj cen realistický'!B28-'Vývoj cen realistický'!B33-'Vývoj cen realistický'!B39</f>
        <v>131650.5537447251</v>
      </c>
      <c r="C20" s="3"/>
      <c r="AA20" t="s">
        <v>406</v>
      </c>
      <c r="AB20" s="14">
        <v>23.441162681669013</v>
      </c>
      <c r="AC20" s="14">
        <v>23.15565229472514</v>
      </c>
      <c r="AD20" s="14">
        <v>23.88</v>
      </c>
      <c r="AE20" s="14">
        <v>23.88</v>
      </c>
      <c r="AF20" s="14">
        <v>23.88</v>
      </c>
      <c r="AG20" s="14">
        <v>23.88</v>
      </c>
      <c r="AH20" s="14">
        <v>23.88</v>
      </c>
      <c r="AI20" s="14">
        <v>23.88</v>
      </c>
      <c r="AJ20" s="14">
        <v>23.88</v>
      </c>
    </row>
    <row r="21" spans="1:36" x14ac:dyDescent="0.25">
      <c r="A21" t="s">
        <v>305</v>
      </c>
      <c r="B21" s="3">
        <f>+B20-B17</f>
        <v>32889.184445362043</v>
      </c>
      <c r="C21" s="3"/>
      <c r="D21" s="3">
        <f>+D22*D18/1000</f>
        <v>36493.204518637111</v>
      </c>
      <c r="E21" s="3">
        <f t="shared" ref="E21:H21" si="15">+E22*E18/1000</f>
        <v>37223.068609009861</v>
      </c>
      <c r="F21" s="3">
        <f t="shared" si="15"/>
        <v>37967.529981190055</v>
      </c>
      <c r="G21" s="3">
        <f t="shared" si="15"/>
        <v>38726.880580813864</v>
      </c>
      <c r="H21" s="3">
        <f t="shared" si="15"/>
        <v>39501.418192430137</v>
      </c>
      <c r="I21" s="3">
        <f>+I22*I18/1000</f>
        <v>40291.446556278737</v>
      </c>
      <c r="J21" s="3">
        <f t="shared" ref="J21:L21" si="16">+J22*J18/1000</f>
        <v>41097.275487404317</v>
      </c>
      <c r="K21" s="3">
        <f t="shared" si="16"/>
        <v>41919.220997152406</v>
      </c>
      <c r="L21" s="3">
        <f t="shared" si="16"/>
        <v>42757.605417095452</v>
      </c>
      <c r="O21" t="s">
        <v>303</v>
      </c>
      <c r="AA21" t="s">
        <v>407</v>
      </c>
      <c r="AB21" s="26">
        <v>26.427061310782243</v>
      </c>
      <c r="AC21" s="26">
        <v>26.375481352534681</v>
      </c>
      <c r="AD21" s="26">
        <v>26.243603945772009</v>
      </c>
      <c r="AE21" s="26">
        <v>26.112385926043149</v>
      </c>
      <c r="AF21" s="26">
        <v>25.981823996412935</v>
      </c>
      <c r="AG21" s="26">
        <v>25.851914876430872</v>
      </c>
      <c r="AH21" s="26">
        <v>25.722655302048718</v>
      </c>
      <c r="AI21" s="26">
        <v>25.594042025538474</v>
      </c>
      <c r="AJ21" s="26">
        <v>25.466071815410782</v>
      </c>
    </row>
    <row r="22" spans="1:36" x14ac:dyDescent="0.25">
      <c r="A22" t="s">
        <v>301</v>
      </c>
      <c r="B22" s="14">
        <f>+B21/Rozbor!B21*1000</f>
        <v>273.36805816061741</v>
      </c>
      <c r="C22" s="14">
        <f t="shared" ref="C22:I22" si="17">+C23*$O$22</f>
        <v>278.83541932382974</v>
      </c>
      <c r="D22" s="14">
        <f t="shared" si="17"/>
        <v>284.41212771030632</v>
      </c>
      <c r="E22" s="14">
        <f t="shared" si="17"/>
        <v>290.10037026451249</v>
      </c>
      <c r="F22" s="14">
        <f t="shared" si="17"/>
        <v>295.90237766980272</v>
      </c>
      <c r="G22" s="14">
        <f t="shared" si="17"/>
        <v>301.82042522319881</v>
      </c>
      <c r="H22" s="14">
        <f t="shared" si="17"/>
        <v>307.85683372766277</v>
      </c>
      <c r="I22" s="14">
        <f t="shared" si="17"/>
        <v>314.01397040221599</v>
      </c>
      <c r="J22" s="14">
        <f t="shared" ref="J22:L22" si="18">+J23*$O$22</f>
        <v>320.29424981026034</v>
      </c>
      <c r="K22" s="14">
        <f t="shared" si="18"/>
        <v>326.70013480646554</v>
      </c>
      <c r="L22" s="14">
        <f t="shared" si="18"/>
        <v>333.23413750259488</v>
      </c>
      <c r="O22">
        <v>200</v>
      </c>
      <c r="P22" t="s">
        <v>304</v>
      </c>
    </row>
    <row r="23" spans="1:36" x14ac:dyDescent="0.25">
      <c r="A23" t="s">
        <v>302</v>
      </c>
      <c r="B23" s="14">
        <f>+B22/O22</f>
        <v>1.366840290803087</v>
      </c>
      <c r="C23" s="14">
        <f t="shared" ref="C23:I23" si="19">+B23*(1+$Q$23)</f>
        <v>1.3941770966191487</v>
      </c>
      <c r="D23" s="14">
        <f t="shared" si="19"/>
        <v>1.4220606385515318</v>
      </c>
      <c r="E23" s="14">
        <f t="shared" si="19"/>
        <v>1.4505018513225625</v>
      </c>
      <c r="F23" s="14">
        <f t="shared" si="19"/>
        <v>1.4795118883490137</v>
      </c>
      <c r="G23" s="14">
        <f t="shared" si="19"/>
        <v>1.509102126115994</v>
      </c>
      <c r="H23" s="14">
        <f t="shared" si="19"/>
        <v>1.5392841686383139</v>
      </c>
      <c r="I23" s="14">
        <f t="shared" si="19"/>
        <v>1.5700698520110801</v>
      </c>
      <c r="J23" s="14">
        <f t="shared" ref="J23:L23" si="20">+I23*(1+$Q$23)</f>
        <v>1.6014712490513017</v>
      </c>
      <c r="K23" s="14">
        <f t="shared" si="20"/>
        <v>1.6335006740323277</v>
      </c>
      <c r="L23" s="14">
        <f t="shared" si="20"/>
        <v>1.6661706875129743</v>
      </c>
      <c r="O23" t="s">
        <v>315</v>
      </c>
      <c r="Q23">
        <v>0.02</v>
      </c>
      <c r="R23" t="s">
        <v>336</v>
      </c>
    </row>
    <row r="24" spans="1:36" x14ac:dyDescent="0.25">
      <c r="P24" s="22"/>
    </row>
    <row r="25" spans="1:36" x14ac:dyDescent="0.25">
      <c r="A25" s="1" t="s">
        <v>110</v>
      </c>
      <c r="B25">
        <v>2015</v>
      </c>
      <c r="C25">
        <v>2016</v>
      </c>
      <c r="D25">
        <v>2017</v>
      </c>
      <c r="E25">
        <v>2018</v>
      </c>
      <c r="F25">
        <v>2019</v>
      </c>
      <c r="G25">
        <v>2020</v>
      </c>
      <c r="H25">
        <v>2021</v>
      </c>
      <c r="I25">
        <v>2022</v>
      </c>
      <c r="J25">
        <v>2023</v>
      </c>
      <c r="K25">
        <v>2024</v>
      </c>
      <c r="L25">
        <v>2025</v>
      </c>
      <c r="O25" t="s">
        <v>294</v>
      </c>
      <c r="P25">
        <v>0.02</v>
      </c>
    </row>
    <row r="26" spans="1:36" x14ac:dyDescent="0.25">
      <c r="A26" t="s">
        <v>267</v>
      </c>
      <c r="B26" s="3">
        <v>4800</v>
      </c>
      <c r="C26" s="3">
        <f t="shared" ref="C26:I26" si="21">+B26*(1+$P$25)</f>
        <v>4896</v>
      </c>
      <c r="D26" s="3">
        <f t="shared" si="21"/>
        <v>4993.92</v>
      </c>
      <c r="E26" s="3">
        <f t="shared" si="21"/>
        <v>5093.7984000000006</v>
      </c>
      <c r="F26" s="3">
        <f t="shared" si="21"/>
        <v>5195.6743680000009</v>
      </c>
      <c r="G26" s="3">
        <f t="shared" si="21"/>
        <v>5299.5878553600014</v>
      </c>
      <c r="H26" s="3">
        <f t="shared" si="21"/>
        <v>5405.5796124672015</v>
      </c>
      <c r="I26" s="3">
        <f t="shared" si="21"/>
        <v>5513.6912047165461</v>
      </c>
      <c r="J26" s="3">
        <f t="shared" ref="J26:L26" si="22">+I26*(1+$P$25)</f>
        <v>5623.9650288108769</v>
      </c>
      <c r="K26" s="3">
        <f t="shared" si="22"/>
        <v>5736.4443293870945</v>
      </c>
      <c r="L26" s="3">
        <f t="shared" si="22"/>
        <v>5851.1732159748362</v>
      </c>
    </row>
    <row r="27" spans="1:36" x14ac:dyDescent="0.25">
      <c r="A27" t="s">
        <v>268</v>
      </c>
      <c r="B27" s="3">
        <v>1679</v>
      </c>
      <c r="C27" s="3"/>
      <c r="D27" s="3">
        <v>1679</v>
      </c>
      <c r="E27" s="3">
        <v>1679</v>
      </c>
      <c r="F27" s="3">
        <v>1679</v>
      </c>
      <c r="G27" s="3">
        <v>1679</v>
      </c>
      <c r="H27" s="3">
        <v>1679</v>
      </c>
      <c r="I27" s="3">
        <v>1679</v>
      </c>
      <c r="J27" s="3">
        <v>1680</v>
      </c>
      <c r="K27" s="3">
        <v>1681</v>
      </c>
      <c r="L27" s="3">
        <v>1682</v>
      </c>
    </row>
    <row r="28" spans="1:36" x14ac:dyDescent="0.25">
      <c r="A28" t="s">
        <v>269</v>
      </c>
      <c r="B28" s="3">
        <f>+B27*B26/1000</f>
        <v>8059.2</v>
      </c>
      <c r="C28" s="3"/>
      <c r="D28" s="3">
        <f t="shared" ref="D28:I28" si="23">+D27*D26/1000</f>
        <v>8384.7916800000003</v>
      </c>
      <c r="E28" s="3">
        <f t="shared" si="23"/>
        <v>8552.487513600001</v>
      </c>
      <c r="F28" s="3">
        <f t="shared" si="23"/>
        <v>8723.5372638720019</v>
      </c>
      <c r="G28" s="3">
        <f t="shared" si="23"/>
        <v>8898.0080091494419</v>
      </c>
      <c r="H28" s="3">
        <f t="shared" si="23"/>
        <v>9075.968169332431</v>
      </c>
      <c r="I28" s="3">
        <f t="shared" si="23"/>
        <v>9257.4875327190821</v>
      </c>
      <c r="J28" s="3">
        <f t="shared" ref="J28:L28" si="24">+J27*J26/1000</f>
        <v>9448.2612484022738</v>
      </c>
      <c r="K28" s="3">
        <f t="shared" si="24"/>
        <v>9642.9629176997059</v>
      </c>
      <c r="L28" s="3">
        <f t="shared" si="24"/>
        <v>9841.6733492696749</v>
      </c>
    </row>
    <row r="29" spans="1:36" x14ac:dyDescent="0.25">
      <c r="C29" s="3"/>
      <c r="T29" t="s">
        <v>277</v>
      </c>
    </row>
    <row r="30" spans="1:36" x14ac:dyDescent="0.25">
      <c r="A30" s="1" t="s">
        <v>270</v>
      </c>
      <c r="B30">
        <v>2015</v>
      </c>
      <c r="C30">
        <v>2016</v>
      </c>
      <c r="D30">
        <v>2017</v>
      </c>
      <c r="E30">
        <v>2018</v>
      </c>
      <c r="F30">
        <v>2019</v>
      </c>
      <c r="G30">
        <v>2020</v>
      </c>
      <c r="H30">
        <v>2021</v>
      </c>
      <c r="I30">
        <v>2022</v>
      </c>
      <c r="J30">
        <v>2023</v>
      </c>
      <c r="K30">
        <v>2024</v>
      </c>
      <c r="L30">
        <v>2025</v>
      </c>
      <c r="O30" t="s">
        <v>271</v>
      </c>
      <c r="Q30">
        <v>2015</v>
      </c>
      <c r="R30">
        <v>1.45</v>
      </c>
      <c r="S30" t="s">
        <v>272</v>
      </c>
      <c r="T30">
        <v>990</v>
      </c>
      <c r="U30" t="s">
        <v>273</v>
      </c>
      <c r="V30">
        <v>3.7854000000000001</v>
      </c>
      <c r="W30" t="s">
        <v>274</v>
      </c>
    </row>
    <row r="31" spans="1:36" x14ac:dyDescent="0.25">
      <c r="A31" t="s">
        <v>267</v>
      </c>
      <c r="B31" s="3">
        <f>+R31/V30*1000/T30*1000</f>
        <v>9518.2287288801799</v>
      </c>
      <c r="C31" s="3">
        <f t="shared" ref="C31:I31" si="25">+B31*(1+$R$33)</f>
        <v>9708.5933034577829</v>
      </c>
      <c r="D31" s="3">
        <f t="shared" si="25"/>
        <v>9902.7651695269378</v>
      </c>
      <c r="E31" s="3">
        <f t="shared" si="25"/>
        <v>10100.820472917476</v>
      </c>
      <c r="F31" s="3">
        <f t="shared" si="25"/>
        <v>10302.836882375825</v>
      </c>
      <c r="G31" s="3">
        <f t="shared" si="25"/>
        <v>10508.893620023342</v>
      </c>
      <c r="H31" s="3">
        <f t="shared" si="25"/>
        <v>10719.071492423809</v>
      </c>
      <c r="I31" s="3">
        <f t="shared" si="25"/>
        <v>10933.452922272285</v>
      </c>
      <c r="J31" s="3">
        <f t="shared" ref="J31:L31" si="26">+I31*(1+$R$33)</f>
        <v>11152.121980717731</v>
      </c>
      <c r="K31" s="3">
        <f t="shared" si="26"/>
        <v>11375.164420332087</v>
      </c>
      <c r="L31" s="3">
        <f t="shared" si="26"/>
        <v>11602.667708738729</v>
      </c>
      <c r="R31">
        <f>+R30*B3</f>
        <v>35.67</v>
      </c>
      <c r="S31" t="s">
        <v>275</v>
      </c>
    </row>
    <row r="32" spans="1:36" x14ac:dyDescent="0.25">
      <c r="A32" t="s">
        <v>268</v>
      </c>
      <c r="B32">
        <v>423</v>
      </c>
      <c r="D32">
        <v>423</v>
      </c>
      <c r="E32">
        <v>423</v>
      </c>
      <c r="F32">
        <v>423</v>
      </c>
      <c r="G32">
        <v>423</v>
      </c>
      <c r="H32">
        <v>423</v>
      </c>
      <c r="I32">
        <v>423</v>
      </c>
      <c r="J32">
        <v>424</v>
      </c>
      <c r="K32">
        <v>425</v>
      </c>
      <c r="L32">
        <v>426</v>
      </c>
    </row>
    <row r="33" spans="1:18" x14ac:dyDescent="0.25">
      <c r="A33" t="s">
        <v>276</v>
      </c>
      <c r="B33" s="3">
        <f>+B31*B32/1000</f>
        <v>4026.2107523163163</v>
      </c>
      <c r="C33" s="3"/>
      <c r="D33" s="3">
        <f t="shared" ref="D33:I33" si="27">+D31*D32/1000</f>
        <v>4188.8696667098948</v>
      </c>
      <c r="E33" s="3">
        <f t="shared" si="27"/>
        <v>4272.6470600440925</v>
      </c>
      <c r="F33" s="3">
        <f t="shared" si="27"/>
        <v>4358.1000012449731</v>
      </c>
      <c r="G33" s="3">
        <f t="shared" si="27"/>
        <v>4445.2620012698735</v>
      </c>
      <c r="H33" s="3">
        <f t="shared" si="27"/>
        <v>4534.1672412952712</v>
      </c>
      <c r="I33" s="3">
        <f t="shared" si="27"/>
        <v>4624.8505861211761</v>
      </c>
      <c r="J33" s="3">
        <f t="shared" ref="J33:L33" si="28">+J31*J32/1000</f>
        <v>4728.4997198243182</v>
      </c>
      <c r="K33" s="3">
        <f t="shared" si="28"/>
        <v>4834.4448786411367</v>
      </c>
      <c r="L33" s="3">
        <f t="shared" si="28"/>
        <v>4942.7364439226985</v>
      </c>
      <c r="O33" t="s">
        <v>318</v>
      </c>
      <c r="R33">
        <v>0.02</v>
      </c>
    </row>
    <row r="35" spans="1:18" x14ac:dyDescent="0.25">
      <c r="A35" s="1" t="s">
        <v>111</v>
      </c>
      <c r="B35">
        <v>2015</v>
      </c>
      <c r="C35">
        <v>2016</v>
      </c>
      <c r="D35">
        <v>2017</v>
      </c>
      <c r="E35">
        <v>2018</v>
      </c>
      <c r="F35">
        <v>2019</v>
      </c>
      <c r="G35">
        <v>2020</v>
      </c>
      <c r="H35">
        <v>2021</v>
      </c>
      <c r="I35">
        <v>2022</v>
      </c>
      <c r="J35">
        <v>2023</v>
      </c>
      <c r="K35">
        <v>2024</v>
      </c>
      <c r="L35">
        <v>2025</v>
      </c>
      <c r="O35" t="s">
        <v>278</v>
      </c>
    </row>
    <row r="36" spans="1:18" x14ac:dyDescent="0.25">
      <c r="A36" t="s">
        <v>279</v>
      </c>
      <c r="B36" s="27">
        <v>24</v>
      </c>
      <c r="C36" s="27">
        <f t="shared" ref="C36:I36" si="29">+B36*(1+$R$33)</f>
        <v>24.48</v>
      </c>
      <c r="D36" s="27">
        <f t="shared" si="29"/>
        <v>24.9696</v>
      </c>
      <c r="E36" s="27">
        <f t="shared" si="29"/>
        <v>25.468992</v>
      </c>
      <c r="F36" s="27">
        <f t="shared" si="29"/>
        <v>25.978371840000001</v>
      </c>
      <c r="G36" s="27">
        <f t="shared" si="29"/>
        <v>26.4979392768</v>
      </c>
      <c r="H36" s="27">
        <f t="shared" si="29"/>
        <v>27.027898062336</v>
      </c>
      <c r="I36" s="27">
        <f t="shared" si="29"/>
        <v>27.568456023582719</v>
      </c>
      <c r="J36" s="27">
        <f t="shared" ref="J36:L36" si="30">+I36*(1+$R$33)</f>
        <v>28.119825144054374</v>
      </c>
      <c r="K36" s="27">
        <f t="shared" si="30"/>
        <v>28.682221646935464</v>
      </c>
      <c r="L36" s="27">
        <f t="shared" si="30"/>
        <v>29.255866079874174</v>
      </c>
      <c r="O36" t="s">
        <v>281</v>
      </c>
      <c r="P36">
        <v>845</v>
      </c>
      <c r="Q36" t="s">
        <v>273</v>
      </c>
    </row>
    <row r="37" spans="1:18" x14ac:dyDescent="0.25">
      <c r="A37" t="s">
        <v>268</v>
      </c>
      <c r="B37" s="3">
        <f>+Parmetry!G46</f>
        <v>15</v>
      </c>
      <c r="D37">
        <v>15</v>
      </c>
      <c r="E37">
        <v>15</v>
      </c>
      <c r="F37">
        <v>15</v>
      </c>
      <c r="G37">
        <v>15</v>
      </c>
      <c r="H37">
        <v>15</v>
      </c>
      <c r="I37">
        <v>15</v>
      </c>
      <c r="J37">
        <v>16</v>
      </c>
      <c r="K37">
        <v>17</v>
      </c>
      <c r="L37">
        <v>18</v>
      </c>
    </row>
    <row r="38" spans="1:18" x14ac:dyDescent="0.25">
      <c r="A38" t="s">
        <v>280</v>
      </c>
      <c r="B38" s="3">
        <f>+B37*1000/845*1000</f>
        <v>17751.479289940828</v>
      </c>
      <c r="C38" s="3"/>
      <c r="D38" s="3">
        <f t="shared" ref="D38:I38" si="31">+D37*1000/845*1000</f>
        <v>17751.479289940828</v>
      </c>
      <c r="E38" s="3">
        <f t="shared" si="31"/>
        <v>17751.479289940828</v>
      </c>
      <c r="F38" s="3">
        <f t="shared" si="31"/>
        <v>17751.479289940828</v>
      </c>
      <c r="G38" s="3">
        <f t="shared" si="31"/>
        <v>17751.479289940828</v>
      </c>
      <c r="H38" s="3">
        <f t="shared" si="31"/>
        <v>17751.479289940828</v>
      </c>
      <c r="I38" s="3">
        <f t="shared" si="31"/>
        <v>17751.479289940828</v>
      </c>
      <c r="J38" s="3">
        <f t="shared" ref="J38:L38" si="32">+J37*1000/845*1000</f>
        <v>18934.91124260355</v>
      </c>
      <c r="K38" s="3">
        <f t="shared" si="32"/>
        <v>20118.343195266272</v>
      </c>
      <c r="L38" s="3">
        <f t="shared" si="32"/>
        <v>21301.775147928995</v>
      </c>
    </row>
    <row r="39" spans="1:18" x14ac:dyDescent="0.25">
      <c r="A39" t="s">
        <v>276</v>
      </c>
      <c r="B39" s="3">
        <f>+B36*B38/1000</f>
        <v>426.03550295857985</v>
      </c>
      <c r="C39" s="3"/>
      <c r="D39" s="3">
        <f t="shared" ref="D39:I39" si="33">+D36*D38/1000</f>
        <v>443.2473372781065</v>
      </c>
      <c r="E39" s="3">
        <f t="shared" si="33"/>
        <v>452.11228402366862</v>
      </c>
      <c r="F39" s="3">
        <f t="shared" si="33"/>
        <v>461.15452970414202</v>
      </c>
      <c r="G39" s="3">
        <f t="shared" si="33"/>
        <v>470.37762029822483</v>
      </c>
      <c r="H39" s="3">
        <f t="shared" si="33"/>
        <v>479.78517270418934</v>
      </c>
      <c r="I39" s="3">
        <f t="shared" si="33"/>
        <v>489.38087615827305</v>
      </c>
      <c r="J39" s="3">
        <f t="shared" ref="J39:L39" si="34">+J36*J38/1000</f>
        <v>532.44639326020126</v>
      </c>
      <c r="K39" s="3">
        <f t="shared" si="34"/>
        <v>577.03877869574308</v>
      </c>
      <c r="L39" s="3">
        <f t="shared" si="34"/>
        <v>623.2018809914025</v>
      </c>
    </row>
    <row r="41" spans="1:18" x14ac:dyDescent="0.25">
      <c r="A41" s="1" t="s">
        <v>192</v>
      </c>
    </row>
    <row r="42" spans="1:18" x14ac:dyDescent="0.25">
      <c r="B42">
        <v>2014</v>
      </c>
      <c r="C42">
        <v>2015</v>
      </c>
      <c r="D42">
        <v>2016</v>
      </c>
      <c r="E42">
        <v>2017</v>
      </c>
      <c r="F42">
        <v>2018</v>
      </c>
      <c r="G42">
        <v>2019</v>
      </c>
      <c r="H42">
        <v>2020</v>
      </c>
      <c r="I42">
        <v>2021</v>
      </c>
      <c r="J42">
        <v>2022</v>
      </c>
      <c r="K42">
        <v>2023</v>
      </c>
      <c r="L42">
        <v>2024</v>
      </c>
      <c r="M42">
        <v>2025</v>
      </c>
    </row>
    <row r="43" spans="1:18" x14ac:dyDescent="0.25">
      <c r="A43" t="s">
        <v>248</v>
      </c>
      <c r="B43">
        <v>71446</v>
      </c>
      <c r="C43">
        <v>47000</v>
      </c>
      <c r="D43" s="3">
        <v>94000</v>
      </c>
      <c r="E43" s="3">
        <f>+E47-D49-E53</f>
        <v>58214</v>
      </c>
      <c r="F43" s="3">
        <f>+F47-F53</f>
        <v>131439</v>
      </c>
      <c r="G43" s="3">
        <f t="shared" ref="G43" si="35">+G47-G53</f>
        <v>145185</v>
      </c>
      <c r="H43" s="3">
        <f>+H47-H53</f>
        <v>158099</v>
      </c>
      <c r="I43" s="3">
        <f>I47-I53</f>
        <v>160981.76671214885</v>
      </c>
      <c r="J43" s="3">
        <f>J47-J53</f>
        <v>163464.63236483603</v>
      </c>
      <c r="K43" s="3">
        <f t="shared" ref="K43:M43" si="36">K47-K53</f>
        <v>165603.07174090971</v>
      </c>
      <c r="L43" s="3">
        <f t="shared" si="36"/>
        <v>167444.86409088777</v>
      </c>
      <c r="M43" s="3">
        <f t="shared" si="36"/>
        <v>169031.16066697586</v>
      </c>
    </row>
    <row r="44" spans="1:18" x14ac:dyDescent="0.25">
      <c r="A44" t="s">
        <v>391</v>
      </c>
      <c r="D44" s="3"/>
      <c r="E44" s="14">
        <v>4.5999999999999996</v>
      </c>
      <c r="F44" s="14">
        <f>+E44*(1+$Q$45)</f>
        <v>4.83</v>
      </c>
      <c r="G44" s="14">
        <f t="shared" ref="G44:M44" si="37">+F44*(1+$Q$45)</f>
        <v>5.0715000000000003</v>
      </c>
      <c r="H44" s="14">
        <f t="shared" si="37"/>
        <v>5.3250750000000009</v>
      </c>
      <c r="I44" s="14">
        <f t="shared" si="37"/>
        <v>5.5913287500000015</v>
      </c>
      <c r="J44" s="14">
        <f t="shared" si="37"/>
        <v>5.8708951875000022</v>
      </c>
      <c r="K44" s="14">
        <f t="shared" si="37"/>
        <v>6.1644399468750022</v>
      </c>
      <c r="L44" s="14">
        <f t="shared" si="37"/>
        <v>6.4726619442187525</v>
      </c>
      <c r="M44" s="14">
        <f t="shared" si="37"/>
        <v>6.7962950414296905</v>
      </c>
    </row>
    <row r="45" spans="1:18" x14ac:dyDescent="0.25">
      <c r="A45" t="s">
        <v>249</v>
      </c>
      <c r="C45">
        <v>217.88</v>
      </c>
      <c r="D45">
        <v>142.13999999999999</v>
      </c>
      <c r="E45">
        <f>E44*D5</f>
        <v>121.56448202959831</v>
      </c>
      <c r="F45">
        <f>F44*E5</f>
        <v>127.39357493274251</v>
      </c>
      <c r="G45">
        <f t="shared" ref="G45:L45" si="38">G44*F5</f>
        <v>133.09443741098275</v>
      </c>
      <c r="H45">
        <f t="shared" si="38"/>
        <v>139.05041348512424</v>
      </c>
      <c r="I45">
        <f t="shared" si="38"/>
        <v>145.27291948858357</v>
      </c>
      <c r="J45">
        <f t="shared" si="38"/>
        <v>151.77388263569773</v>
      </c>
      <c r="K45">
        <f t="shared" si="38"/>
        <v>158.56576388364519</v>
      </c>
      <c r="L45">
        <f t="shared" si="38"/>
        <v>165.66158181743833</v>
      </c>
      <c r="M45">
        <f>M44*L5</f>
        <v>173.07493760376869</v>
      </c>
      <c r="O45" t="s">
        <v>376</v>
      </c>
      <c r="Q45">
        <v>0.05</v>
      </c>
    </row>
    <row r="46" spans="1:18" x14ac:dyDescent="0.25">
      <c r="A46" t="s">
        <v>250</v>
      </c>
      <c r="C46" s="3">
        <f>+C45*C43/1000</f>
        <v>10240.36</v>
      </c>
      <c r="D46" s="3">
        <f>+D45*D43/1000</f>
        <v>13361.159999999998</v>
      </c>
      <c r="E46" s="3">
        <f>+E43*E45/1000</f>
        <v>7076.7547568710361</v>
      </c>
      <c r="F46" s="3">
        <f t="shared" ref="F46:M46" si="39">+F43*F45/1000</f>
        <v>16744.484095584743</v>
      </c>
      <c r="G46" s="3">
        <f t="shared" si="39"/>
        <v>19323.31589551353</v>
      </c>
      <c r="H46" s="3">
        <f t="shared" si="39"/>
        <v>21983.731321584655</v>
      </c>
      <c r="I46" s="3">
        <f>+I43*I45/1000</f>
        <v>23386.291234703942</v>
      </c>
      <c r="J46" s="3">
        <f t="shared" si="39"/>
        <v>24809.661927628102</v>
      </c>
      <c r="K46" s="3">
        <f t="shared" si="39"/>
        <v>26258.977572075444</v>
      </c>
      <c r="L46" s="3">
        <f t="shared" si="39"/>
        <v>27739.181052502445</v>
      </c>
      <c r="M46" s="3">
        <f t="shared" si="39"/>
        <v>29255.057585529448</v>
      </c>
    </row>
    <row r="47" spans="1:18" x14ac:dyDescent="0.25">
      <c r="A47" t="s">
        <v>253</v>
      </c>
      <c r="C47" s="3">
        <f>+Rozbor!E67</f>
        <v>178880</v>
      </c>
      <c r="D47" s="3">
        <f>+Rozbor!F67</f>
        <v>125912</v>
      </c>
      <c r="E47">
        <v>178880</v>
      </c>
      <c r="F47">
        <v>178880</v>
      </c>
      <c r="G47">
        <v>178880</v>
      </c>
      <c r="H47">
        <v>178880</v>
      </c>
      <c r="I47">
        <v>178880</v>
      </c>
      <c r="J47">
        <v>178880</v>
      </c>
      <c r="K47">
        <v>178880</v>
      </c>
      <c r="L47">
        <v>178880</v>
      </c>
      <c r="M47">
        <v>178880</v>
      </c>
    </row>
    <row r="48" spans="1:18" x14ac:dyDescent="0.25">
      <c r="A48" t="s">
        <v>347</v>
      </c>
      <c r="C48" s="3">
        <v>35214</v>
      </c>
    </row>
    <row r="49" spans="1:33" x14ac:dyDescent="0.25">
      <c r="A49" t="s">
        <v>251</v>
      </c>
      <c r="C49" s="3">
        <f>+C43-C48</f>
        <v>11786</v>
      </c>
      <c r="D49" s="3">
        <f>+D43-(D47-D53-C49)</f>
        <v>58151</v>
      </c>
      <c r="O49" t="s">
        <v>379</v>
      </c>
      <c r="Q49">
        <f>+GEOMEAN(C50:H50)</f>
        <v>0.13872127001341877</v>
      </c>
      <c r="R49" s="24">
        <f>+AVERAGE(C50:H50)</f>
        <v>0.13924250670447261</v>
      </c>
      <c r="Y49">
        <v>2017</v>
      </c>
      <c r="Z49">
        <v>2018</v>
      </c>
      <c r="AA49">
        <v>2019</v>
      </c>
      <c r="AB49">
        <v>2020</v>
      </c>
      <c r="AC49">
        <v>2021</v>
      </c>
      <c r="AD49">
        <v>2022</v>
      </c>
      <c r="AE49">
        <v>2023</v>
      </c>
      <c r="AF49">
        <v>2024</v>
      </c>
      <c r="AG49">
        <v>2025</v>
      </c>
    </row>
    <row r="50" spans="1:33" x14ac:dyDescent="0.25">
      <c r="A50" t="s">
        <v>348</v>
      </c>
      <c r="C50" s="24">
        <f>1-C51/B51</f>
        <v>0.13858461779203501</v>
      </c>
      <c r="D50" s="24">
        <f t="shared" ref="D50:H50" si="40">1-D51/C51</f>
        <v>0.14382706237652987</v>
      </c>
      <c r="E50" s="24">
        <f t="shared" si="40"/>
        <v>0.14902532820580827</v>
      </c>
      <c r="F50" s="24">
        <f t="shared" si="40"/>
        <v>0.15368073302998198</v>
      </c>
      <c r="G50" s="24">
        <f t="shared" si="40"/>
        <v>0.13268274719204565</v>
      </c>
      <c r="H50" s="24">
        <f t="shared" si="40"/>
        <v>0.11765455163043481</v>
      </c>
      <c r="I50">
        <f>+$Q$49</f>
        <v>0.13872127001341877</v>
      </c>
      <c r="J50">
        <f>+$Q$49</f>
        <v>0.13872127001341877</v>
      </c>
      <c r="K50">
        <f t="shared" ref="K50:M50" si="41">+$Q$49</f>
        <v>0.13872127001341877</v>
      </c>
      <c r="L50">
        <f t="shared" si="41"/>
        <v>0.13872127001341877</v>
      </c>
      <c r="M50">
        <f t="shared" si="41"/>
        <v>0.13872127001341877</v>
      </c>
      <c r="O50" t="s">
        <v>349</v>
      </c>
      <c r="X50" t="s">
        <v>378</v>
      </c>
      <c r="Y50" s="3">
        <v>32086</v>
      </c>
      <c r="Z50" s="3">
        <v>27155</v>
      </c>
      <c r="AA50" s="3">
        <v>23552</v>
      </c>
      <c r="AB50" s="3">
        <v>20781</v>
      </c>
      <c r="AC50" s="3">
        <v>17898.233287851144</v>
      </c>
      <c r="AD50" s="3">
        <v>15415.367635163984</v>
      </c>
      <c r="AE50" s="3">
        <v>13276.928259090284</v>
      </c>
      <c r="AF50" s="3">
        <v>11435.13590911223</v>
      </c>
      <c r="AG50" s="3">
        <v>9848.8393330241306</v>
      </c>
    </row>
    <row r="51" spans="1:33" x14ac:dyDescent="0.25">
      <c r="A51" t="s">
        <v>378</v>
      </c>
      <c r="B51" s="3">
        <v>51124</v>
      </c>
      <c r="C51" s="3">
        <v>44039</v>
      </c>
      <c r="D51" s="3">
        <v>37705</v>
      </c>
      <c r="E51" s="3">
        <v>32086</v>
      </c>
      <c r="F51" s="3">
        <v>27155</v>
      </c>
      <c r="G51" s="3">
        <v>23552</v>
      </c>
      <c r="H51" s="3">
        <v>20781</v>
      </c>
      <c r="I51" s="3">
        <f>+H51*(1-I50)</f>
        <v>17898.233287851144</v>
      </c>
      <c r="J51" s="3">
        <f>+I51*(1-J50)</f>
        <v>15415.367635163984</v>
      </c>
      <c r="K51" s="3">
        <f t="shared" ref="K51:M51" si="42">+J51*(1-K50)</f>
        <v>13276.928259090284</v>
      </c>
      <c r="L51" s="3">
        <f t="shared" si="42"/>
        <v>11435.13590911223</v>
      </c>
      <c r="M51" s="3">
        <f t="shared" si="42"/>
        <v>9848.8393330241306</v>
      </c>
      <c r="X51" t="s">
        <v>377</v>
      </c>
      <c r="Y51" s="3">
        <v>30429</v>
      </c>
      <c r="Z51" s="3">
        <v>20286</v>
      </c>
      <c r="AA51" s="3">
        <v>10143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</row>
    <row r="52" spans="1:33" x14ac:dyDescent="0.25">
      <c r="A52" t="s">
        <v>377</v>
      </c>
      <c r="B52" s="3">
        <v>60858</v>
      </c>
      <c r="C52" s="3">
        <v>50715</v>
      </c>
      <c r="D52" s="3">
        <v>40572</v>
      </c>
      <c r="E52" s="3">
        <v>30429</v>
      </c>
      <c r="F52" s="3">
        <v>20286</v>
      </c>
      <c r="G52" s="3">
        <v>10143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X52" t="s">
        <v>252</v>
      </c>
      <c r="Y52" s="3">
        <v>62515</v>
      </c>
      <c r="Z52" s="3">
        <v>47441</v>
      </c>
      <c r="AA52" s="3">
        <v>33695</v>
      </c>
      <c r="AB52" s="3">
        <v>20781</v>
      </c>
      <c r="AC52" s="3">
        <v>17898.233287851144</v>
      </c>
      <c r="AD52" s="3">
        <v>15415.367635163984</v>
      </c>
      <c r="AE52" s="3">
        <v>13276.928259090284</v>
      </c>
      <c r="AF52" s="3">
        <v>11435.13590911223</v>
      </c>
      <c r="AG52" s="3">
        <v>9848.8393330241306</v>
      </c>
    </row>
    <row r="53" spans="1:33" x14ac:dyDescent="0.25">
      <c r="A53" t="s">
        <v>252</v>
      </c>
      <c r="C53" s="3">
        <f>+C51+C52</f>
        <v>94754</v>
      </c>
      <c r="D53" s="3">
        <f t="shared" ref="D53:M53" si="43">+D51+D52</f>
        <v>78277</v>
      </c>
      <c r="E53" s="3">
        <f t="shared" si="43"/>
        <v>62515</v>
      </c>
      <c r="F53" s="3">
        <f t="shared" si="43"/>
        <v>47441</v>
      </c>
      <c r="G53" s="3">
        <f t="shared" si="43"/>
        <v>33695</v>
      </c>
      <c r="H53" s="3">
        <f t="shared" si="43"/>
        <v>20781</v>
      </c>
      <c r="I53" s="3">
        <f t="shared" si="43"/>
        <v>17898.233287851144</v>
      </c>
      <c r="J53" s="3">
        <f t="shared" si="43"/>
        <v>15415.367635163984</v>
      </c>
      <c r="K53" s="3">
        <f t="shared" si="43"/>
        <v>13276.928259090284</v>
      </c>
      <c r="L53" s="3">
        <f t="shared" si="43"/>
        <v>11435.13590911223</v>
      </c>
      <c r="M53" s="3">
        <f t="shared" si="43"/>
        <v>9848.8393330241306</v>
      </c>
      <c r="X53" t="s">
        <v>248</v>
      </c>
      <c r="Y53" s="3">
        <v>58214</v>
      </c>
      <c r="Z53" s="3">
        <v>131439</v>
      </c>
      <c r="AA53" s="3">
        <v>145185</v>
      </c>
      <c r="AB53" s="3">
        <v>158099</v>
      </c>
      <c r="AC53" s="3">
        <v>160981.76671214885</v>
      </c>
      <c r="AD53" s="3">
        <v>163464.63236483603</v>
      </c>
      <c r="AE53" s="3">
        <v>165603.07174090971</v>
      </c>
      <c r="AF53" s="3">
        <v>167444.86409088777</v>
      </c>
      <c r="AG53" s="3">
        <v>169031.16066697586</v>
      </c>
    </row>
    <row r="54" spans="1:33" x14ac:dyDescent="0.25">
      <c r="X54" t="s">
        <v>391</v>
      </c>
      <c r="Y54" s="14">
        <v>4.5999999999999996</v>
      </c>
      <c r="Z54" s="14">
        <f>+Y54*(1+$Q$45)</f>
        <v>4.83</v>
      </c>
      <c r="AA54" s="14">
        <f t="shared" ref="AA54" si="44">+Z54*(1+$Q$45)</f>
        <v>5.0715000000000003</v>
      </c>
      <c r="AB54" s="14">
        <f t="shared" ref="AB54" si="45">+AA54*(1+$Q$45)</f>
        <v>5.3250750000000009</v>
      </c>
      <c r="AC54" s="14">
        <f t="shared" ref="AC54" si="46">+AB54*(1+$Q$45)</f>
        <v>5.5913287500000015</v>
      </c>
      <c r="AD54" s="14">
        <f t="shared" ref="AD54" si="47">+AC54*(1+$Q$45)</f>
        <v>5.8708951875000022</v>
      </c>
      <c r="AE54" s="14">
        <f t="shared" ref="AE54" si="48">+AD54*(1+$Q$45)</f>
        <v>6.1644399468750022</v>
      </c>
      <c r="AF54" s="14">
        <f t="shared" ref="AF54" si="49">+AE54*(1+$Q$45)</f>
        <v>6.4726619442187525</v>
      </c>
      <c r="AG54" s="14">
        <f t="shared" ref="AG54" si="50">+AF54*(1+$Q$45)</f>
        <v>6.7962950414296905</v>
      </c>
    </row>
    <row r="55" spans="1:33" x14ac:dyDescent="0.25">
      <c r="A55" s="1" t="s">
        <v>95</v>
      </c>
      <c r="X55" t="s">
        <v>250</v>
      </c>
      <c r="Y55" s="3">
        <v>7076.7547568710361</v>
      </c>
      <c r="Z55" s="3">
        <v>16744.484095584743</v>
      </c>
      <c r="AA55" s="3">
        <v>19460.560377825004</v>
      </c>
      <c r="AB55" s="3">
        <v>22251.127126992749</v>
      </c>
      <c r="AC55" s="3">
        <v>23789.695343119882</v>
      </c>
      <c r="AD55" s="3">
        <v>25364.440811501678</v>
      </c>
      <c r="AE55" s="3">
        <v>26981.070541915527</v>
      </c>
      <c r="AF55" s="3">
        <v>28645.204008264296</v>
      </c>
      <c r="AG55" s="3">
        <v>30362.40444109778</v>
      </c>
    </row>
    <row r="56" spans="1:33" x14ac:dyDescent="0.25">
      <c r="B56">
        <v>2015</v>
      </c>
      <c r="C56">
        <v>2016</v>
      </c>
      <c r="D56">
        <v>2017</v>
      </c>
      <c r="E56">
        <v>2018</v>
      </c>
      <c r="F56">
        <v>2019</v>
      </c>
      <c r="G56">
        <v>2020</v>
      </c>
      <c r="H56">
        <v>2021</v>
      </c>
      <c r="I56">
        <v>2022</v>
      </c>
      <c r="J56">
        <v>2023</v>
      </c>
      <c r="K56">
        <v>2024</v>
      </c>
      <c r="L56">
        <v>2025</v>
      </c>
    </row>
    <row r="57" spans="1:33" x14ac:dyDescent="0.25">
      <c r="A57" t="s">
        <v>283</v>
      </c>
      <c r="B57" s="3">
        <f>+Parmetry!G36</f>
        <v>205</v>
      </c>
      <c r="C57" s="3">
        <f>+Parmetry!H36</f>
        <v>173</v>
      </c>
      <c r="D57" s="3">
        <v>173</v>
      </c>
      <c r="E57" s="3">
        <v>173</v>
      </c>
      <c r="F57" s="3">
        <v>173</v>
      </c>
      <c r="G57" s="3">
        <v>173</v>
      </c>
      <c r="H57" s="3">
        <v>173</v>
      </c>
      <c r="I57" s="3">
        <v>173</v>
      </c>
      <c r="J57" s="3">
        <v>173</v>
      </c>
      <c r="K57" s="3">
        <v>173</v>
      </c>
      <c r="L57" s="3">
        <v>173</v>
      </c>
      <c r="M57" s="3"/>
      <c r="O57" t="s">
        <v>286</v>
      </c>
      <c r="P57">
        <v>0.02</v>
      </c>
    </row>
    <row r="58" spans="1:33" x14ac:dyDescent="0.25">
      <c r="A58" t="s">
        <v>284</v>
      </c>
      <c r="B58" s="3">
        <f>+Rozbor!D12</f>
        <v>82829</v>
      </c>
      <c r="C58" s="3">
        <v>75095</v>
      </c>
      <c r="D58" s="3">
        <f>+D59*D57</f>
        <v>76596.899999999994</v>
      </c>
      <c r="E58" s="3">
        <f t="shared" ref="E58:H58" si="51">+E59*E57</f>
        <v>78128.838000000003</v>
      </c>
      <c r="F58" s="3">
        <f t="shared" si="51"/>
        <v>79691.41476</v>
      </c>
      <c r="G58" s="3">
        <f t="shared" si="51"/>
        <v>81285.243055200001</v>
      </c>
      <c r="H58" s="3">
        <f t="shared" si="51"/>
        <v>82910.947916304009</v>
      </c>
      <c r="I58" s="3">
        <f>+I59*I57</f>
        <v>84569.166874630086</v>
      </c>
      <c r="J58" s="3">
        <f t="shared" ref="J58:L58" si="52">+J59*J57</f>
        <v>86260.550212122675</v>
      </c>
      <c r="K58" s="3">
        <f t="shared" si="52"/>
        <v>87985.761216365136</v>
      </c>
      <c r="L58" s="3">
        <f t="shared" si="52"/>
        <v>89745.476440692422</v>
      </c>
      <c r="M58" s="3"/>
    </row>
    <row r="59" spans="1:33" x14ac:dyDescent="0.25">
      <c r="A59" t="s">
        <v>285</v>
      </c>
      <c r="B59" s="24">
        <f>+B58/B57</f>
        <v>404.04390243902441</v>
      </c>
      <c r="C59" s="24">
        <f>+C58/C57</f>
        <v>434.07514450867052</v>
      </c>
      <c r="D59" s="24">
        <f t="shared" ref="D59:I59" si="53">+C59*$P$57+C59</f>
        <v>442.75664739884394</v>
      </c>
      <c r="E59" s="24">
        <f t="shared" si="53"/>
        <v>451.61178034682081</v>
      </c>
      <c r="F59" s="24">
        <f t="shared" si="53"/>
        <v>460.64401595375722</v>
      </c>
      <c r="G59" s="24">
        <f t="shared" si="53"/>
        <v>469.85689627283239</v>
      </c>
      <c r="H59" s="24">
        <f t="shared" si="53"/>
        <v>479.25403419828905</v>
      </c>
      <c r="I59" s="24">
        <f t="shared" si="53"/>
        <v>488.83911488225482</v>
      </c>
      <c r="J59" s="24">
        <f t="shared" ref="J59:L59" si="54">+I59*$P$57+I59</f>
        <v>498.61589717989989</v>
      </c>
      <c r="K59" s="24">
        <f t="shared" si="54"/>
        <v>508.58821512349789</v>
      </c>
      <c r="L59" s="24">
        <f t="shared" si="54"/>
        <v>518.7599794259678</v>
      </c>
      <c r="M59" s="24"/>
    </row>
    <row r="61" spans="1:33" x14ac:dyDescent="0.25">
      <c r="A61" s="1" t="s">
        <v>105</v>
      </c>
    </row>
    <row r="62" spans="1:33" x14ac:dyDescent="0.25">
      <c r="B62">
        <v>2015</v>
      </c>
      <c r="C62">
        <v>2016</v>
      </c>
      <c r="D62">
        <v>2017</v>
      </c>
      <c r="E62">
        <v>2018</v>
      </c>
      <c r="F62">
        <v>2019</v>
      </c>
      <c r="G62">
        <v>2020</v>
      </c>
      <c r="H62">
        <v>2021</v>
      </c>
      <c r="I62">
        <v>2022</v>
      </c>
      <c r="J62">
        <v>2023</v>
      </c>
      <c r="K62">
        <v>2024</v>
      </c>
      <c r="L62">
        <v>2025</v>
      </c>
      <c r="O62" t="s">
        <v>287</v>
      </c>
    </row>
    <row r="63" spans="1:33" x14ac:dyDescent="0.25">
      <c r="A63" t="s">
        <v>122</v>
      </c>
      <c r="B63" s="3">
        <f>+Rozbor!D18</f>
        <v>0</v>
      </c>
      <c r="C63" s="3">
        <v>23214</v>
      </c>
      <c r="D63" s="3">
        <f>+C63*(1+$P$63)</f>
        <v>23678.28</v>
      </c>
      <c r="E63" s="3">
        <f>+D63*(1+$P$25)</f>
        <v>24151.845600000001</v>
      </c>
      <c r="F63" s="3">
        <f>+E63*(1+$P$25)</f>
        <v>24634.882512</v>
      </c>
      <c r="G63" s="3">
        <f>+F63*(1+$P$25)</f>
        <v>25127.580162239999</v>
      </c>
      <c r="H63" s="3">
        <f>+G63*(1+$P$25)</f>
        <v>25630.131765484799</v>
      </c>
      <c r="I63" s="3">
        <f>+H63*(1+$P$25)</f>
        <v>26142.734400794496</v>
      </c>
      <c r="J63" s="3">
        <f t="shared" ref="J63:L63" si="55">+I63*(1+$P$25)</f>
        <v>26665.589088810386</v>
      </c>
      <c r="K63" s="3">
        <f t="shared" si="55"/>
        <v>27198.900870586593</v>
      </c>
      <c r="L63" s="3">
        <f t="shared" si="55"/>
        <v>27742.878887998326</v>
      </c>
      <c r="O63" t="s">
        <v>294</v>
      </c>
      <c r="P63">
        <v>0.02</v>
      </c>
    </row>
    <row r="65" spans="1:38" x14ac:dyDescent="0.25">
      <c r="A65" s="1" t="s">
        <v>298</v>
      </c>
      <c r="Z65" t="s">
        <v>402</v>
      </c>
    </row>
    <row r="66" spans="1:38" x14ac:dyDescent="0.25">
      <c r="B66">
        <v>2015</v>
      </c>
      <c r="C66">
        <v>2016</v>
      </c>
      <c r="D66">
        <v>2017</v>
      </c>
      <c r="E66">
        <v>2018</v>
      </c>
      <c r="F66">
        <v>2019</v>
      </c>
      <c r="G66">
        <v>2020</v>
      </c>
      <c r="H66">
        <v>2021</v>
      </c>
      <c r="I66">
        <v>2022</v>
      </c>
      <c r="J66">
        <v>2023</v>
      </c>
      <c r="K66">
        <v>2024</v>
      </c>
      <c r="L66">
        <v>2025</v>
      </c>
      <c r="O66" t="s">
        <v>388</v>
      </c>
      <c r="Z66">
        <v>2017</v>
      </c>
      <c r="AA66">
        <v>2016</v>
      </c>
    </row>
    <row r="67" spans="1:38" x14ac:dyDescent="0.25">
      <c r="A67" t="s">
        <v>295</v>
      </c>
      <c r="B67" s="3">
        <f>+Rozbor!L89</f>
        <v>508000</v>
      </c>
      <c r="C67" s="3">
        <f>+Rozbor!M89</f>
        <v>529744</v>
      </c>
      <c r="D67" s="3">
        <f>+Rozbor!B2</f>
        <v>508014</v>
      </c>
      <c r="E67" s="3">
        <f>+D67</f>
        <v>508014</v>
      </c>
      <c r="F67" s="3">
        <f t="shared" ref="F67:L67" si="56">+E67</f>
        <v>508014</v>
      </c>
      <c r="G67" s="3">
        <f t="shared" si="56"/>
        <v>508014</v>
      </c>
      <c r="H67" s="3">
        <f t="shared" si="56"/>
        <v>508014</v>
      </c>
      <c r="I67" s="3">
        <f t="shared" si="56"/>
        <v>508014</v>
      </c>
      <c r="J67" s="3">
        <f t="shared" si="56"/>
        <v>508014</v>
      </c>
      <c r="K67" s="3">
        <f t="shared" si="56"/>
        <v>508014</v>
      </c>
      <c r="L67" s="3">
        <f t="shared" si="56"/>
        <v>508014</v>
      </c>
      <c r="O67">
        <v>2006</v>
      </c>
      <c r="P67">
        <v>2007</v>
      </c>
      <c r="Q67">
        <v>2008</v>
      </c>
      <c r="R67">
        <v>2009</v>
      </c>
      <c r="S67">
        <v>2010</v>
      </c>
      <c r="T67">
        <v>2011</v>
      </c>
      <c r="U67">
        <v>2012</v>
      </c>
      <c r="V67">
        <v>2013</v>
      </c>
      <c r="W67">
        <v>2014</v>
      </c>
      <c r="X67">
        <v>2015</v>
      </c>
      <c r="Z67">
        <v>412.2</v>
      </c>
      <c r="AA67">
        <v>414.2</v>
      </c>
      <c r="AC67" s="37"/>
      <c r="AD67" s="37">
        <v>2017</v>
      </c>
      <c r="AE67" s="37">
        <v>2018</v>
      </c>
      <c r="AF67" s="37">
        <v>2019</v>
      </c>
      <c r="AG67" s="37">
        <v>2020</v>
      </c>
      <c r="AH67" s="37">
        <v>2021</v>
      </c>
      <c r="AI67" s="37">
        <v>2022</v>
      </c>
      <c r="AJ67" s="37">
        <v>2023</v>
      </c>
      <c r="AK67" s="37">
        <v>2024</v>
      </c>
      <c r="AL67" s="37">
        <v>2025</v>
      </c>
    </row>
    <row r="68" spans="1:38" x14ac:dyDescent="0.25">
      <c r="A68" t="s">
        <v>309</v>
      </c>
      <c r="B68" s="14">
        <f>+Rozbor!L91</f>
        <v>538.69094488188978</v>
      </c>
      <c r="C68" s="14">
        <f>+Rozbor!M91</f>
        <v>483.2050952913105</v>
      </c>
      <c r="D68" s="14">
        <f>+C68*AC77</f>
        <v>478.11934120343915</v>
      </c>
      <c r="E68" s="14">
        <f>+D68+D68*$P$70</f>
        <v>494.67504402153139</v>
      </c>
      <c r="F68" s="14">
        <f>+E68+E68*$P$70</f>
        <v>511.80401646538508</v>
      </c>
      <c r="G68" s="14">
        <f>+F68+F68*$P$70</f>
        <v>529.52610897973398</v>
      </c>
      <c r="H68" s="14">
        <f>+G68+G68*$P$70</f>
        <v>547.86185936503159</v>
      </c>
      <c r="I68" s="14">
        <f>+H68+H68*$P$70</f>
        <v>566.8325165783225</v>
      </c>
      <c r="J68" s="14">
        <f t="shared" ref="J68:L68" si="57">+I68+I68*$P$70</f>
        <v>586.46006535825995</v>
      </c>
      <c r="K68" s="14">
        <f t="shared" si="57"/>
        <v>606.76725170280702</v>
      </c>
      <c r="L68" s="14">
        <f t="shared" si="57"/>
        <v>627.77760922914672</v>
      </c>
      <c r="O68">
        <v>271.07</v>
      </c>
      <c r="P68">
        <v>284.36</v>
      </c>
      <c r="Q68">
        <v>315.31</v>
      </c>
      <c r="R68">
        <v>331.97</v>
      </c>
      <c r="S68">
        <v>337.52</v>
      </c>
      <c r="T68">
        <v>355.01</v>
      </c>
      <c r="U68">
        <v>368.25</v>
      </c>
      <c r="V68">
        <v>384.53</v>
      </c>
      <c r="W68">
        <v>398.72</v>
      </c>
      <c r="X68">
        <v>400.64</v>
      </c>
      <c r="Z68">
        <v>202</v>
      </c>
      <c r="AA68">
        <v>203</v>
      </c>
      <c r="AC68" s="37" t="s">
        <v>404</v>
      </c>
      <c r="AD68" s="38">
        <v>478.11934120343915</v>
      </c>
      <c r="AE68" s="38">
        <v>482.90053461547353</v>
      </c>
      <c r="AF68" s="38">
        <v>487.72953996162829</v>
      </c>
      <c r="AG68" s="38">
        <v>492.60683536124458</v>
      </c>
      <c r="AH68" s="38">
        <v>497.53290371485701</v>
      </c>
      <c r="AI68" s="38">
        <v>502.5082327520056</v>
      </c>
      <c r="AJ68" s="38">
        <v>507.53331507952566</v>
      </c>
      <c r="AK68" s="38">
        <v>512.60864823032091</v>
      </c>
      <c r="AL68" s="38">
        <v>517.73473471262412</v>
      </c>
    </row>
    <row r="69" spans="1:38" x14ac:dyDescent="0.25">
      <c r="A69" t="s">
        <v>306</v>
      </c>
      <c r="B69" s="3">
        <f>+B67*B68/1000</f>
        <v>273655</v>
      </c>
      <c r="C69" s="3">
        <f t="shared" ref="C69:I69" si="58">+C67*C68/1000</f>
        <v>255975</v>
      </c>
      <c r="D69" s="3">
        <f t="shared" si="58"/>
        <v>242891.31900212393</v>
      </c>
      <c r="E69" s="3">
        <f t="shared" si="58"/>
        <v>251301.84781355425</v>
      </c>
      <c r="F69" s="3">
        <f t="shared" si="58"/>
        <v>260003.60562064612</v>
      </c>
      <c r="G69" s="3">
        <f t="shared" si="58"/>
        <v>269006.67672723054</v>
      </c>
      <c r="H69" s="3">
        <f t="shared" si="58"/>
        <v>278321.49462346715</v>
      </c>
      <c r="I69" s="3">
        <f t="shared" si="58"/>
        <v>287958.8540770199</v>
      </c>
      <c r="J69" s="3">
        <f t="shared" ref="J69:L69" si="59">+J67*J68/1000</f>
        <v>297929.92364291108</v>
      </c>
      <c r="K69" s="3">
        <f t="shared" si="59"/>
        <v>308246.25860654982</v>
      </c>
      <c r="L69" s="3">
        <f t="shared" si="59"/>
        <v>318919.81437493576</v>
      </c>
      <c r="P69">
        <f>+P68/O68-1</f>
        <v>4.902792636588349E-2</v>
      </c>
      <c r="Q69">
        <f t="shared" ref="Q69:X69" si="60">+Q68/P68-1</f>
        <v>0.10884090589393725</v>
      </c>
      <c r="R69">
        <f>+R68/Q68-1</f>
        <v>5.2836890679014425E-2</v>
      </c>
      <c r="S69">
        <f t="shared" si="60"/>
        <v>1.6718378166701742E-2</v>
      </c>
      <c r="T69">
        <f t="shared" si="60"/>
        <v>5.1819151457691337E-2</v>
      </c>
      <c r="U69">
        <f t="shared" si="60"/>
        <v>3.7294724092279186E-2</v>
      </c>
      <c r="V69">
        <f t="shared" si="60"/>
        <v>4.4209097080787352E-2</v>
      </c>
      <c r="W69">
        <f t="shared" si="60"/>
        <v>3.6902192286687896E-2</v>
      </c>
      <c r="X69">
        <f t="shared" si="60"/>
        <v>4.8154093097911854E-3</v>
      </c>
      <c r="Z69">
        <v>210.2</v>
      </c>
      <c r="AA69">
        <v>211.2</v>
      </c>
    </row>
    <row r="70" spans="1:38" x14ac:dyDescent="0.25">
      <c r="N70" t="s">
        <v>314</v>
      </c>
      <c r="P70">
        <f>+GEOMEAN($P$69:$X$69)</f>
        <v>3.4626716368388523E-2</v>
      </c>
      <c r="Q70" t="s">
        <v>399</v>
      </c>
      <c r="R70">
        <v>0.02</v>
      </c>
    </row>
    <row r="71" spans="1:38" x14ac:dyDescent="0.25">
      <c r="A71" s="1" t="s">
        <v>310</v>
      </c>
      <c r="B71">
        <v>2015</v>
      </c>
      <c r="C71">
        <v>2016</v>
      </c>
      <c r="D71">
        <v>2017</v>
      </c>
      <c r="E71">
        <v>2018</v>
      </c>
      <c r="F71">
        <v>2019</v>
      </c>
      <c r="G71">
        <v>2020</v>
      </c>
      <c r="H71">
        <v>2021</v>
      </c>
      <c r="I71">
        <v>2022</v>
      </c>
      <c r="J71">
        <v>2023</v>
      </c>
      <c r="K71">
        <v>2024</v>
      </c>
      <c r="L71">
        <v>2025</v>
      </c>
      <c r="N71" t="s">
        <v>358</v>
      </c>
      <c r="Z71">
        <v>538.29999999999995</v>
      </c>
      <c r="AA71">
        <v>547.5</v>
      </c>
    </row>
    <row r="72" spans="1:38" x14ac:dyDescent="0.25">
      <c r="A72" t="s">
        <v>313</v>
      </c>
      <c r="B72" s="3">
        <v>83641</v>
      </c>
      <c r="C72" s="3">
        <f>+Rozbor!M96</f>
        <v>27840</v>
      </c>
      <c r="D72" s="3">
        <f>+$B$72</f>
        <v>83641</v>
      </c>
      <c r="E72" s="3">
        <f t="shared" ref="E72:L72" si="61">+$B$72</f>
        <v>83641</v>
      </c>
      <c r="F72" s="3">
        <f t="shared" si="61"/>
        <v>83641</v>
      </c>
      <c r="G72" s="3">
        <f t="shared" si="61"/>
        <v>83641</v>
      </c>
      <c r="H72" s="3">
        <f t="shared" si="61"/>
        <v>83641</v>
      </c>
      <c r="I72" s="3">
        <f t="shared" si="61"/>
        <v>83641</v>
      </c>
      <c r="J72" s="3">
        <f t="shared" si="61"/>
        <v>83641</v>
      </c>
      <c r="K72" s="3">
        <f t="shared" si="61"/>
        <v>83641</v>
      </c>
      <c r="L72" s="3">
        <f t="shared" si="61"/>
        <v>83641</v>
      </c>
      <c r="N72" t="s">
        <v>314</v>
      </c>
      <c r="P72">
        <v>0.02</v>
      </c>
      <c r="Z72">
        <v>263.8</v>
      </c>
      <c r="AA72">
        <v>301.10000000000002</v>
      </c>
    </row>
    <row r="73" spans="1:38" x14ac:dyDescent="0.25">
      <c r="A73" t="s">
        <v>361</v>
      </c>
      <c r="B73" s="3"/>
      <c r="C73" s="3"/>
      <c r="D73">
        <v>34</v>
      </c>
      <c r="E73">
        <v>29.8</v>
      </c>
      <c r="F73">
        <v>28</v>
      </c>
      <c r="G73">
        <f>+F73*(1+$P$72)</f>
        <v>28.560000000000002</v>
      </c>
      <c r="H73">
        <f>+G73*(1+$P$72)</f>
        <v>29.131200000000003</v>
      </c>
      <c r="I73">
        <f>+H73*(1+$P$72)</f>
        <v>29.713824000000002</v>
      </c>
      <c r="J73">
        <f t="shared" ref="J73:L73" si="62">+I73*(1+$P$72)</f>
        <v>30.308100480000004</v>
      </c>
      <c r="K73">
        <f t="shared" si="62"/>
        <v>30.914262489600006</v>
      </c>
      <c r="L73">
        <f t="shared" si="62"/>
        <v>31.532547739392008</v>
      </c>
      <c r="Z73">
        <v>274.5</v>
      </c>
      <c r="AA73">
        <v>246.4</v>
      </c>
    </row>
    <row r="74" spans="1:38" x14ac:dyDescent="0.25">
      <c r="A74" t="s">
        <v>365</v>
      </c>
      <c r="B74" s="3">
        <f>+Rozbor!L99</f>
        <v>1032.6992742793607</v>
      </c>
      <c r="C74" s="3">
        <f>+Rozbor!M99</f>
        <v>918.21120689655174</v>
      </c>
      <c r="D74" s="3">
        <f t="shared" ref="D74:I74" si="63">+D73*D5</f>
        <v>898.52008456659621</v>
      </c>
      <c r="E74" s="3">
        <f t="shared" si="63"/>
        <v>785.98934430553356</v>
      </c>
      <c r="F74" s="3">
        <f t="shared" si="63"/>
        <v>734.82091048161624</v>
      </c>
      <c r="G74" s="3">
        <f t="shared" si="63"/>
        <v>745.76974204779242</v>
      </c>
      <c r="H74" s="3">
        <f t="shared" si="63"/>
        <v>756.88171120430457</v>
      </c>
      <c r="I74" s="3">
        <f t="shared" si="63"/>
        <v>768.15924870124877</v>
      </c>
      <c r="J74" s="3">
        <f t="shared" ref="J74:L74" si="64">+J73*J5</f>
        <v>779.60482150689745</v>
      </c>
      <c r="K74" s="3">
        <f t="shared" si="64"/>
        <v>791.22093334735018</v>
      </c>
      <c r="L74" s="3">
        <f t="shared" si="64"/>
        <v>803.01012525422584</v>
      </c>
      <c r="Z74">
        <v>494.7</v>
      </c>
      <c r="AA74">
        <v>510.1</v>
      </c>
    </row>
    <row r="75" spans="1:38" x14ac:dyDescent="0.25">
      <c r="A75" t="s">
        <v>310</v>
      </c>
      <c r="B75" s="3">
        <f>+B72*B74/1000</f>
        <v>86376</v>
      </c>
      <c r="C75" s="3">
        <f t="shared" ref="C75:I75" si="65">+C72*C74/1000</f>
        <v>25563</v>
      </c>
      <c r="D75" s="3">
        <f t="shared" si="65"/>
        <v>75153.118393234676</v>
      </c>
      <c r="E75" s="3">
        <f t="shared" si="65"/>
        <v>65740.934747059131</v>
      </c>
      <c r="F75" s="3">
        <f t="shared" si="65"/>
        <v>61461.155773592865</v>
      </c>
      <c r="G75" s="3">
        <f>+G72*G74/1000</f>
        <v>62376.926994619404</v>
      </c>
      <c r="H75" s="3">
        <f t="shared" si="65"/>
        <v>63306.343206839243</v>
      </c>
      <c r="I75" s="3">
        <f t="shared" si="65"/>
        <v>64249.607720621148</v>
      </c>
      <c r="J75" s="3">
        <f t="shared" ref="J75:L75" si="66">+J72*J74/1000</f>
        <v>65206.926875658406</v>
      </c>
      <c r="K75" s="3">
        <f t="shared" si="66"/>
        <v>66178.510086105714</v>
      </c>
      <c r="L75" s="3">
        <f t="shared" si="66"/>
        <v>67164.569886388708</v>
      </c>
      <c r="Z75">
        <v>242.4</v>
      </c>
      <c r="AA75">
        <v>280.5</v>
      </c>
    </row>
    <row r="76" spans="1:38" x14ac:dyDescent="0.25">
      <c r="A76" t="s">
        <v>381</v>
      </c>
      <c r="D76" s="3">
        <v>27840</v>
      </c>
      <c r="E76" s="3">
        <v>27840</v>
      </c>
      <c r="F76" s="3">
        <v>27840</v>
      </c>
      <c r="G76" s="3">
        <v>27840</v>
      </c>
      <c r="H76" s="3">
        <v>27840</v>
      </c>
      <c r="I76" s="3">
        <v>27840</v>
      </c>
      <c r="J76" s="3">
        <v>27840</v>
      </c>
      <c r="K76" s="3">
        <v>27840</v>
      </c>
      <c r="L76" s="3">
        <v>27840</v>
      </c>
      <c r="Z76">
        <v>252.3</v>
      </c>
      <c r="AA76">
        <v>229.6</v>
      </c>
    </row>
    <row r="77" spans="1:38" x14ac:dyDescent="0.25">
      <c r="A77" t="s">
        <v>386</v>
      </c>
      <c r="D77" s="3">
        <f t="shared" ref="D77:I77" si="67">+D76*$P$77/1000</f>
        <v>5568</v>
      </c>
      <c r="E77" s="3">
        <f t="shared" si="67"/>
        <v>5568</v>
      </c>
      <c r="F77" s="3">
        <f t="shared" si="67"/>
        <v>5568</v>
      </c>
      <c r="G77" s="3">
        <f t="shared" si="67"/>
        <v>5568</v>
      </c>
      <c r="H77" s="3">
        <f t="shared" si="67"/>
        <v>5568</v>
      </c>
      <c r="I77" s="3">
        <f t="shared" si="67"/>
        <v>5568</v>
      </c>
      <c r="J77" s="3">
        <f t="shared" ref="J77:L77" si="68">+J76*$P$77/1000</f>
        <v>5568</v>
      </c>
      <c r="K77" s="3">
        <f>+K76*$P$77/1000</f>
        <v>5568</v>
      </c>
      <c r="L77" s="3">
        <f t="shared" si="68"/>
        <v>5568</v>
      </c>
      <c r="N77" t="s">
        <v>387</v>
      </c>
      <c r="P77">
        <v>200</v>
      </c>
      <c r="Y77" t="s">
        <v>403</v>
      </c>
      <c r="Z77">
        <f>+AVERAGE(Z66:Z76)</f>
        <v>490.73999999999995</v>
      </c>
      <c r="AA77">
        <f>+AVERAGE(AA66:AA76)</f>
        <v>495.96000000000004</v>
      </c>
      <c r="AB77" t="s">
        <v>384</v>
      </c>
      <c r="AC77">
        <f>+Z77/AA77</f>
        <v>0.98947495765787552</v>
      </c>
    </row>
    <row r="79" spans="1:38" x14ac:dyDescent="0.25">
      <c r="A79" s="1" t="s">
        <v>317</v>
      </c>
      <c r="B79">
        <v>2015</v>
      </c>
      <c r="C79">
        <v>2016</v>
      </c>
      <c r="D79">
        <v>2017</v>
      </c>
      <c r="E79">
        <v>2018</v>
      </c>
      <c r="F79">
        <v>2019</v>
      </c>
      <c r="G79">
        <v>2020</v>
      </c>
      <c r="H79">
        <v>2021</v>
      </c>
      <c r="I79">
        <v>2022</v>
      </c>
      <c r="J79">
        <v>2023</v>
      </c>
      <c r="K79">
        <v>2024</v>
      </c>
      <c r="L79">
        <v>2025</v>
      </c>
    </row>
    <row r="80" spans="1:38" x14ac:dyDescent="0.25">
      <c r="A80" t="s">
        <v>320</v>
      </c>
      <c r="B80" s="3">
        <f>+Rozbor!B36</f>
        <v>4426059</v>
      </c>
      <c r="C80" s="3">
        <f>+Rozbor!B44</f>
        <v>2304967</v>
      </c>
      <c r="D80" s="3">
        <f>+$B$80</f>
        <v>4426059</v>
      </c>
      <c r="E80" s="3">
        <f t="shared" ref="E80:L80" si="69">+$B$80</f>
        <v>4426059</v>
      </c>
      <c r="F80" s="3">
        <f t="shared" si="69"/>
        <v>4426059</v>
      </c>
      <c r="G80" s="3">
        <f t="shared" si="69"/>
        <v>4426059</v>
      </c>
      <c r="H80" s="3">
        <f t="shared" si="69"/>
        <v>4426059</v>
      </c>
      <c r="I80" s="3">
        <f t="shared" si="69"/>
        <v>4426059</v>
      </c>
      <c r="J80" s="3">
        <f t="shared" si="69"/>
        <v>4426059</v>
      </c>
      <c r="K80" s="3">
        <f t="shared" si="69"/>
        <v>4426059</v>
      </c>
      <c r="L80" s="3">
        <f t="shared" si="69"/>
        <v>4426059</v>
      </c>
    </row>
    <row r="81" spans="1:16" x14ac:dyDescent="0.25">
      <c r="A81" t="s">
        <v>319</v>
      </c>
      <c r="B81">
        <f>+Rozbor!F36</f>
        <v>1.22</v>
      </c>
      <c r="C81">
        <f>+B81</f>
        <v>1.22</v>
      </c>
      <c r="D81">
        <f t="shared" ref="D81" si="70">+C81</f>
        <v>1.22</v>
      </c>
      <c r="E81">
        <f>+D81+D81*$O$81</f>
        <v>1.2444</v>
      </c>
      <c r="F81">
        <f t="shared" ref="F81:L81" si="71">+E81+E81*$O$81</f>
        <v>1.269288</v>
      </c>
      <c r="G81">
        <f t="shared" si="71"/>
        <v>1.29467376</v>
      </c>
      <c r="H81">
        <f t="shared" si="71"/>
        <v>1.3205672352</v>
      </c>
      <c r="I81">
        <f t="shared" si="71"/>
        <v>1.3469785799039999</v>
      </c>
      <c r="J81">
        <f t="shared" si="71"/>
        <v>1.37391815150208</v>
      </c>
      <c r="K81">
        <f t="shared" si="71"/>
        <v>1.4013965145321217</v>
      </c>
      <c r="L81">
        <f t="shared" si="71"/>
        <v>1.429424444822764</v>
      </c>
      <c r="N81" t="s">
        <v>336</v>
      </c>
      <c r="O81">
        <v>0.02</v>
      </c>
    </row>
    <row r="82" spans="1:16" x14ac:dyDescent="0.25">
      <c r="A82" t="s">
        <v>269</v>
      </c>
      <c r="B82" s="3">
        <f>+B80*B81/1000</f>
        <v>5399.79198</v>
      </c>
      <c r="C82" s="3">
        <f t="shared" ref="C82:L82" si="72">+C80*C81/1000</f>
        <v>2812.0597399999997</v>
      </c>
      <c r="D82" s="3">
        <f t="shared" si="72"/>
        <v>5399.79198</v>
      </c>
      <c r="E82" s="3">
        <f t="shared" si="72"/>
        <v>5507.7878196000001</v>
      </c>
      <c r="F82" s="3">
        <f t="shared" si="72"/>
        <v>5617.9435759920007</v>
      </c>
      <c r="G82" s="3">
        <f t="shared" si="72"/>
        <v>5730.30244751184</v>
      </c>
      <c r="H82" s="3">
        <f t="shared" si="72"/>
        <v>5844.908496462077</v>
      </c>
      <c r="I82" s="3">
        <f t="shared" si="72"/>
        <v>5961.8066663913178</v>
      </c>
      <c r="J82" s="3">
        <f t="shared" si="72"/>
        <v>6081.0427997191446</v>
      </c>
      <c r="K82" s="3">
        <f t="shared" si="72"/>
        <v>6202.6636557135271</v>
      </c>
      <c r="L82" s="3">
        <f t="shared" si="72"/>
        <v>6326.7169288277983</v>
      </c>
    </row>
    <row r="83" spans="1:16" x14ac:dyDescent="0.25">
      <c r="A83" t="s">
        <v>321</v>
      </c>
      <c r="B83" s="3">
        <f>+Rozbor!B37</f>
        <v>181257</v>
      </c>
      <c r="C83" s="3">
        <f>+Rozbor!B45</f>
        <v>202616</v>
      </c>
      <c r="D83" s="3">
        <f>+Rozbor!$K$32</f>
        <v>191861.42857142858</v>
      </c>
      <c r="E83" s="3">
        <f>+Rozbor!$K$32</f>
        <v>191861.42857142858</v>
      </c>
      <c r="F83" s="3">
        <f>+Rozbor!$K$32</f>
        <v>191861.42857142858</v>
      </c>
      <c r="G83" s="3">
        <f>+Rozbor!$K$32</f>
        <v>191861.42857142858</v>
      </c>
      <c r="H83" s="3">
        <f>+Rozbor!$K$32</f>
        <v>191861.42857142858</v>
      </c>
      <c r="I83" s="3">
        <f>+Rozbor!$K$32</f>
        <v>191861.42857142858</v>
      </c>
      <c r="J83" s="3">
        <f>+Rozbor!$K$32</f>
        <v>191861.42857142858</v>
      </c>
      <c r="K83" s="3">
        <f>+Rozbor!$K$32</f>
        <v>191861.42857142858</v>
      </c>
      <c r="L83" s="3">
        <f>+Rozbor!$K$32</f>
        <v>191861.42857142858</v>
      </c>
    </row>
    <row r="84" spans="1:16" x14ac:dyDescent="0.25">
      <c r="A84" t="s">
        <v>319</v>
      </c>
      <c r="B84">
        <f>+Rozbor!F45</f>
        <v>3.4</v>
      </c>
      <c r="C84">
        <f>+$B$84</f>
        <v>3.4</v>
      </c>
      <c r="D84">
        <f t="shared" ref="D84" si="73">+$B$84</f>
        <v>3.4</v>
      </c>
      <c r="E84">
        <f>+D84+D84*$O$81</f>
        <v>3.468</v>
      </c>
      <c r="F84">
        <f t="shared" ref="F84:L84" si="74">+E84+E84*$O$81</f>
        <v>3.5373600000000001</v>
      </c>
      <c r="G84">
        <f t="shared" si="74"/>
        <v>3.6081072000000001</v>
      </c>
      <c r="H84">
        <f t="shared" si="74"/>
        <v>3.6802693440000001</v>
      </c>
      <c r="I84">
        <f t="shared" si="74"/>
        <v>3.7538747308800002</v>
      </c>
      <c r="J84">
        <f t="shared" si="74"/>
        <v>3.8289522254976003</v>
      </c>
      <c r="K84">
        <f t="shared" si="74"/>
        <v>3.9055312700075522</v>
      </c>
      <c r="L84">
        <f t="shared" si="74"/>
        <v>3.9836418954077031</v>
      </c>
    </row>
    <row r="85" spans="1:16" x14ac:dyDescent="0.25">
      <c r="A85" t="s">
        <v>323</v>
      </c>
      <c r="B85" s="3">
        <f>+B83*B84/1000</f>
        <v>616.27379999999994</v>
      </c>
      <c r="C85" s="3">
        <f t="shared" ref="C85:L85" si="75">+C83*C84/1000</f>
        <v>688.89440000000002</v>
      </c>
      <c r="D85" s="3">
        <f t="shared" si="75"/>
        <v>652.32885714285715</v>
      </c>
      <c r="E85" s="3">
        <f t="shared" si="75"/>
        <v>665.37543428571428</v>
      </c>
      <c r="F85" s="3">
        <f t="shared" si="75"/>
        <v>678.68294297142859</v>
      </c>
      <c r="G85" s="3">
        <f t="shared" si="75"/>
        <v>692.25660183085722</v>
      </c>
      <c r="H85" s="3">
        <f t="shared" si="75"/>
        <v>706.10173386747442</v>
      </c>
      <c r="I85" s="3">
        <f t="shared" si="75"/>
        <v>720.22376854482388</v>
      </c>
      <c r="J85" s="3">
        <f t="shared" si="75"/>
        <v>734.62824391572042</v>
      </c>
      <c r="K85" s="3">
        <f t="shared" si="75"/>
        <v>749.32080879403475</v>
      </c>
      <c r="L85" s="3">
        <f t="shared" si="75"/>
        <v>764.3072249699153</v>
      </c>
    </row>
    <row r="86" spans="1:16" x14ac:dyDescent="0.25">
      <c r="A86" t="s">
        <v>322</v>
      </c>
      <c r="B86" s="3">
        <f>+Rozbor!B46</f>
        <v>6120</v>
      </c>
      <c r="C86" s="3">
        <f>+$B$86</f>
        <v>6120</v>
      </c>
      <c r="D86" s="3">
        <f t="shared" ref="D86:L86" si="76">+$B$86</f>
        <v>6120</v>
      </c>
      <c r="E86" s="3">
        <f t="shared" si="76"/>
        <v>6120</v>
      </c>
      <c r="F86" s="3">
        <f t="shared" si="76"/>
        <v>6120</v>
      </c>
      <c r="G86" s="3">
        <f t="shared" si="76"/>
        <v>6120</v>
      </c>
      <c r="H86" s="3">
        <f t="shared" si="76"/>
        <v>6120</v>
      </c>
      <c r="I86" s="3">
        <f t="shared" si="76"/>
        <v>6120</v>
      </c>
      <c r="J86" s="3">
        <f t="shared" si="76"/>
        <v>6120</v>
      </c>
      <c r="K86" s="3">
        <f t="shared" si="76"/>
        <v>6120</v>
      </c>
      <c r="L86" s="3">
        <f t="shared" si="76"/>
        <v>6120</v>
      </c>
    </row>
    <row r="87" spans="1:16" x14ac:dyDescent="0.25">
      <c r="A87" t="s">
        <v>319</v>
      </c>
      <c r="B87" s="26">
        <f>+Rozbor!F38</f>
        <v>76.33</v>
      </c>
      <c r="C87" s="26">
        <f>+Rozbor!F46</f>
        <v>77.42</v>
      </c>
      <c r="D87" s="26">
        <v>79.23</v>
      </c>
      <c r="E87" s="26">
        <f>+D87+D87*$O$81</f>
        <v>80.814599999999999</v>
      </c>
      <c r="F87" s="26">
        <f t="shared" ref="F87:L87" si="77">+E87+E87*$O$81</f>
        <v>82.430892</v>
      </c>
      <c r="G87" s="26">
        <f t="shared" si="77"/>
        <v>84.07950984</v>
      </c>
      <c r="H87" s="26">
        <f t="shared" si="77"/>
        <v>85.761100036800002</v>
      </c>
      <c r="I87" s="26">
        <f t="shared" si="77"/>
        <v>87.476322037536008</v>
      </c>
      <c r="J87" s="26">
        <f t="shared" si="77"/>
        <v>89.225848478286721</v>
      </c>
      <c r="K87" s="26">
        <f t="shared" si="77"/>
        <v>91.01036544785245</v>
      </c>
      <c r="L87" s="26">
        <f t="shared" si="77"/>
        <v>92.830572756809502</v>
      </c>
      <c r="N87">
        <f>+C87/B87</f>
        <v>1.0142800995676668</v>
      </c>
    </row>
    <row r="88" spans="1:16" x14ac:dyDescent="0.25">
      <c r="A88" t="s">
        <v>323</v>
      </c>
      <c r="B88" s="3">
        <f>+B87*B86/1000</f>
        <v>467.13959999999997</v>
      </c>
      <c r="C88" s="3">
        <f t="shared" ref="C88:L88" si="78">+C87*C86/1000</f>
        <v>473.81040000000002</v>
      </c>
      <c r="D88" s="3">
        <f t="shared" si="78"/>
        <v>484.88760000000002</v>
      </c>
      <c r="E88" s="3">
        <f t="shared" si="78"/>
        <v>494.585352</v>
      </c>
      <c r="F88" s="3">
        <f t="shared" si="78"/>
        <v>504.47705904000003</v>
      </c>
      <c r="G88" s="3">
        <f t="shared" si="78"/>
        <v>514.56660022080007</v>
      </c>
      <c r="H88" s="3">
        <f t="shared" si="78"/>
        <v>524.85793222521602</v>
      </c>
      <c r="I88" s="3">
        <f t="shared" si="78"/>
        <v>535.35509086972036</v>
      </c>
      <c r="J88" s="3">
        <f t="shared" si="78"/>
        <v>546.0621926871147</v>
      </c>
      <c r="K88" s="3">
        <f t="shared" si="78"/>
        <v>556.98343654085693</v>
      </c>
      <c r="L88" s="3">
        <f t="shared" si="78"/>
        <v>568.12310527167415</v>
      </c>
    </row>
    <row r="90" spans="1:16" x14ac:dyDescent="0.25">
      <c r="A90" s="1" t="s">
        <v>327</v>
      </c>
      <c r="B90">
        <v>2015</v>
      </c>
      <c r="C90">
        <v>2016</v>
      </c>
      <c r="D90">
        <v>2017</v>
      </c>
      <c r="E90">
        <v>2018</v>
      </c>
      <c r="F90">
        <v>2019</v>
      </c>
      <c r="G90">
        <v>2020</v>
      </c>
      <c r="H90">
        <v>2021</v>
      </c>
      <c r="I90">
        <v>2022</v>
      </c>
      <c r="J90">
        <v>2023</v>
      </c>
      <c r="K90">
        <v>2024</v>
      </c>
      <c r="L90">
        <v>2025</v>
      </c>
    </row>
    <row r="91" spans="1:16" x14ac:dyDescent="0.25">
      <c r="A91" t="s">
        <v>329</v>
      </c>
      <c r="B91">
        <v>57</v>
      </c>
      <c r="C91">
        <v>57</v>
      </c>
      <c r="D91">
        <v>57</v>
      </c>
      <c r="E91">
        <v>57</v>
      </c>
      <c r="F91">
        <v>57</v>
      </c>
      <c r="G91">
        <v>57</v>
      </c>
      <c r="H91">
        <v>57</v>
      </c>
      <c r="I91">
        <v>57</v>
      </c>
      <c r="J91">
        <v>57</v>
      </c>
      <c r="K91">
        <v>57</v>
      </c>
      <c r="L91">
        <v>57</v>
      </c>
      <c r="N91" t="s">
        <v>334</v>
      </c>
      <c r="O91">
        <v>0.02</v>
      </c>
      <c r="P91" t="s">
        <v>335</v>
      </c>
    </row>
    <row r="92" spans="1:16" x14ac:dyDescent="0.25">
      <c r="A92" t="s">
        <v>330</v>
      </c>
      <c r="B92" s="3">
        <v>28000</v>
      </c>
      <c r="C92" s="3">
        <f t="shared" ref="C92:I92" si="79">B92*(1+$O$91)</f>
        <v>28560</v>
      </c>
      <c r="D92" s="3">
        <f t="shared" si="79"/>
        <v>29131.200000000001</v>
      </c>
      <c r="E92" s="3">
        <f t="shared" si="79"/>
        <v>29713.824000000001</v>
      </c>
      <c r="F92" s="3">
        <f t="shared" si="79"/>
        <v>30308.100480000001</v>
      </c>
      <c r="G92" s="3">
        <f t="shared" si="79"/>
        <v>30914.262489600002</v>
      </c>
      <c r="H92" s="3">
        <f t="shared" si="79"/>
        <v>31532.547739392001</v>
      </c>
      <c r="I92" s="3">
        <f t="shared" si="79"/>
        <v>32163.198694179842</v>
      </c>
      <c r="J92" s="3">
        <f t="shared" ref="J92:L92" si="80">I92*(1+$O$91)</f>
        <v>32806.462668063439</v>
      </c>
      <c r="K92" s="3">
        <f t="shared" si="80"/>
        <v>33462.591921424711</v>
      </c>
      <c r="L92" s="3">
        <f t="shared" si="80"/>
        <v>34131.843759853204</v>
      </c>
    </row>
    <row r="93" spans="1:16" x14ac:dyDescent="0.25">
      <c r="A93" t="s">
        <v>269</v>
      </c>
      <c r="B93" s="3">
        <f>+B91*B92/1000</f>
        <v>1596</v>
      </c>
      <c r="C93" s="3">
        <f t="shared" ref="C93:I93" si="81">+C91*C92/1000</f>
        <v>1627.92</v>
      </c>
      <c r="D93" s="3">
        <f t="shared" si="81"/>
        <v>1660.4784000000002</v>
      </c>
      <c r="E93" s="3">
        <f t="shared" si="81"/>
        <v>1693.6879680000002</v>
      </c>
      <c r="F93" s="3">
        <f t="shared" si="81"/>
        <v>1727.5617273600001</v>
      </c>
      <c r="G93" s="3">
        <f t="shared" si="81"/>
        <v>1762.1129619072001</v>
      </c>
      <c r="H93" s="3">
        <f t="shared" si="81"/>
        <v>1797.3552211453439</v>
      </c>
      <c r="I93" s="3">
        <f t="shared" si="81"/>
        <v>1833.302325568251</v>
      </c>
      <c r="J93" s="3">
        <f t="shared" ref="J93:L93" si="82">+J91*J92/1000</f>
        <v>1869.9683720796158</v>
      </c>
      <c r="K93" s="3">
        <f t="shared" si="82"/>
        <v>1907.3677395212085</v>
      </c>
      <c r="L93" s="3">
        <f t="shared" si="82"/>
        <v>1945.5150943116328</v>
      </c>
    </row>
    <row r="94" spans="1:16" x14ac:dyDescent="0.25">
      <c r="A94" t="s">
        <v>332</v>
      </c>
      <c r="B94" s="3">
        <v>4910</v>
      </c>
      <c r="C94" s="3">
        <v>4910</v>
      </c>
      <c r="D94" s="3">
        <v>4910</v>
      </c>
      <c r="E94" s="3">
        <v>4910</v>
      </c>
      <c r="F94" s="3">
        <v>4910</v>
      </c>
      <c r="G94" s="3">
        <v>4910</v>
      </c>
      <c r="H94" s="3">
        <v>4910</v>
      </c>
      <c r="I94" s="3">
        <v>4910</v>
      </c>
      <c r="J94" s="3">
        <v>4910</v>
      </c>
      <c r="K94" s="3">
        <v>4910</v>
      </c>
      <c r="L94" s="3">
        <v>4910</v>
      </c>
    </row>
    <row r="95" spans="1:16" x14ac:dyDescent="0.25">
      <c r="A95" t="s">
        <v>330</v>
      </c>
      <c r="B95" s="3">
        <v>615</v>
      </c>
      <c r="C95" s="3">
        <f t="shared" ref="C95:I95" si="83">+B95*(1+$O$91)</f>
        <v>627.29999999999995</v>
      </c>
      <c r="D95" s="3">
        <f t="shared" si="83"/>
        <v>639.846</v>
      </c>
      <c r="E95" s="3">
        <f t="shared" si="83"/>
        <v>652.64292</v>
      </c>
      <c r="F95" s="3">
        <f t="shared" si="83"/>
        <v>665.69577839999999</v>
      </c>
      <c r="G95" s="3">
        <f t="shared" si="83"/>
        <v>679.00969396799997</v>
      </c>
      <c r="H95" s="3">
        <f t="shared" si="83"/>
        <v>692.58988784735993</v>
      </c>
      <c r="I95" s="3">
        <f t="shared" si="83"/>
        <v>706.44168560430717</v>
      </c>
      <c r="J95" s="3">
        <f t="shared" ref="J95:L95" si="84">+I95*(1+$O$91)</f>
        <v>720.5705193163933</v>
      </c>
      <c r="K95" s="3">
        <f t="shared" si="84"/>
        <v>734.98192970272123</v>
      </c>
      <c r="L95" s="3">
        <f t="shared" si="84"/>
        <v>749.68156829677571</v>
      </c>
      <c r="N95" t="s">
        <v>333</v>
      </c>
      <c r="O95" t="s">
        <v>227</v>
      </c>
      <c r="P95">
        <f>25*B3</f>
        <v>615</v>
      </c>
    </row>
    <row r="96" spans="1:16" x14ac:dyDescent="0.25">
      <c r="A96" t="s">
        <v>269</v>
      </c>
      <c r="B96" s="3">
        <f>+B94*B95/1000</f>
        <v>3019.65</v>
      </c>
      <c r="C96" s="3">
        <f t="shared" ref="C96:I96" si="85">+C94*C95/1000</f>
        <v>3080.0430000000001</v>
      </c>
      <c r="D96" s="3">
        <f>+D94*D95/1000</f>
        <v>3141.6438599999997</v>
      </c>
      <c r="E96" s="3">
        <f t="shared" si="85"/>
        <v>3204.4767371999997</v>
      </c>
      <c r="F96" s="3">
        <f t="shared" si="85"/>
        <v>3268.5662719439997</v>
      </c>
      <c r="G96" s="3">
        <f t="shared" si="85"/>
        <v>3333.9375973828796</v>
      </c>
      <c r="H96" s="3">
        <f t="shared" si="85"/>
        <v>3400.6163493305376</v>
      </c>
      <c r="I96" s="3">
        <f t="shared" si="85"/>
        <v>3468.6286763171483</v>
      </c>
      <c r="J96" s="3">
        <f t="shared" ref="J96:L96" si="86">+J94*J95/1000</f>
        <v>3538.0012498434912</v>
      </c>
      <c r="K96" s="3">
        <f t="shared" si="86"/>
        <v>3608.7612748403612</v>
      </c>
      <c r="L96" s="3">
        <f t="shared" si="86"/>
        <v>3680.9365003371686</v>
      </c>
    </row>
    <row r="97" spans="1:27" x14ac:dyDescent="0.25">
      <c r="A97" t="s">
        <v>328</v>
      </c>
      <c r="B97" s="3">
        <f>22695-B93-B96</f>
        <v>18079.349999999999</v>
      </c>
      <c r="C97" s="3">
        <f>21680-C93-C96</f>
        <v>16972.037</v>
      </c>
      <c r="D97" s="3">
        <f t="shared" ref="D97:I97" si="87">+C97*(1+$O$91)</f>
        <v>17311.477740000002</v>
      </c>
      <c r="E97" s="3">
        <f t="shared" si="87"/>
        <v>17657.707294800002</v>
      </c>
      <c r="F97" s="3">
        <f t="shared" si="87"/>
        <v>18010.861440696004</v>
      </c>
      <c r="G97" s="3">
        <f t="shared" si="87"/>
        <v>18371.078669509923</v>
      </c>
      <c r="H97" s="3">
        <f t="shared" si="87"/>
        <v>18738.500242900122</v>
      </c>
      <c r="I97" s="3">
        <f t="shared" si="87"/>
        <v>19113.270247758126</v>
      </c>
      <c r="J97" s="3">
        <f t="shared" ref="J97:L97" si="88">+I97*(1+$O$91)</f>
        <v>19495.53565271329</v>
      </c>
      <c r="K97" s="3">
        <f t="shared" si="88"/>
        <v>19885.446365767555</v>
      </c>
      <c r="L97" s="3">
        <f t="shared" si="88"/>
        <v>20283.155293082906</v>
      </c>
    </row>
    <row r="99" spans="1:27" x14ac:dyDescent="0.25">
      <c r="A99" s="1" t="s">
        <v>337</v>
      </c>
      <c r="B99">
        <v>2015</v>
      </c>
      <c r="C99">
        <v>2016</v>
      </c>
      <c r="D99">
        <v>2017</v>
      </c>
      <c r="E99">
        <v>2018</v>
      </c>
      <c r="F99">
        <v>2019</v>
      </c>
      <c r="G99">
        <v>2020</v>
      </c>
      <c r="H99">
        <v>2021</v>
      </c>
      <c r="I99">
        <v>2022</v>
      </c>
      <c r="J99">
        <v>2023</v>
      </c>
      <c r="K99">
        <v>2024</v>
      </c>
      <c r="L99">
        <v>2025</v>
      </c>
      <c r="N99" s="1" t="s">
        <v>208</v>
      </c>
    </row>
    <row r="100" spans="1:27" x14ac:dyDescent="0.25">
      <c r="A100" t="s">
        <v>338</v>
      </c>
      <c r="B100">
        <v>12</v>
      </c>
      <c r="C100">
        <v>5</v>
      </c>
      <c r="D100">
        <v>12</v>
      </c>
      <c r="E100">
        <v>12</v>
      </c>
      <c r="F100">
        <v>12</v>
      </c>
      <c r="G100">
        <v>12</v>
      </c>
      <c r="H100">
        <v>12</v>
      </c>
      <c r="I100">
        <v>12</v>
      </c>
      <c r="J100">
        <v>12</v>
      </c>
      <c r="K100">
        <v>12</v>
      </c>
      <c r="L100">
        <v>12</v>
      </c>
      <c r="O100" s="17" t="s">
        <v>204</v>
      </c>
      <c r="P100" s="17">
        <v>2017</v>
      </c>
      <c r="Q100" s="17">
        <v>2018</v>
      </c>
      <c r="R100" s="17">
        <v>2019</v>
      </c>
      <c r="S100" s="17">
        <v>2020</v>
      </c>
      <c r="T100" s="17" t="s">
        <v>205</v>
      </c>
    </row>
    <row r="101" spans="1:27" x14ac:dyDescent="0.25">
      <c r="A101" t="s">
        <v>339</v>
      </c>
      <c r="B101">
        <v>1252</v>
      </c>
      <c r="C101">
        <v>518</v>
      </c>
      <c r="D101">
        <v>1252</v>
      </c>
      <c r="E101">
        <v>1252</v>
      </c>
      <c r="F101">
        <v>1252</v>
      </c>
      <c r="G101">
        <v>1252</v>
      </c>
      <c r="H101">
        <v>1252</v>
      </c>
      <c r="I101">
        <v>1252</v>
      </c>
      <c r="J101">
        <v>1252</v>
      </c>
      <c r="K101">
        <v>1252</v>
      </c>
      <c r="L101">
        <v>1252</v>
      </c>
      <c r="N101" t="s">
        <v>203</v>
      </c>
      <c r="O101">
        <v>4200</v>
      </c>
      <c r="P101">
        <v>6300</v>
      </c>
      <c r="Q101">
        <v>8400</v>
      </c>
      <c r="R101">
        <v>10500</v>
      </c>
      <c r="S101">
        <v>12600</v>
      </c>
      <c r="T101">
        <v>14700</v>
      </c>
    </row>
    <row r="102" spans="1:27" x14ac:dyDescent="0.25">
      <c r="A102" t="s">
        <v>340</v>
      </c>
      <c r="B102">
        <v>295</v>
      </c>
      <c r="C102">
        <v>114</v>
      </c>
      <c r="D102">
        <v>295</v>
      </c>
      <c r="E102">
        <v>295</v>
      </c>
      <c r="F102">
        <v>295</v>
      </c>
      <c r="G102">
        <v>295</v>
      </c>
      <c r="H102">
        <v>295</v>
      </c>
      <c r="I102">
        <v>295</v>
      </c>
      <c r="J102">
        <v>295</v>
      </c>
      <c r="K102">
        <v>295</v>
      </c>
      <c r="L102">
        <v>295</v>
      </c>
      <c r="N102" t="s">
        <v>171</v>
      </c>
      <c r="O102">
        <v>1350</v>
      </c>
      <c r="P102">
        <v>2100</v>
      </c>
      <c r="Q102">
        <v>2800</v>
      </c>
      <c r="R102">
        <v>3500</v>
      </c>
      <c r="S102">
        <v>4200</v>
      </c>
      <c r="T102">
        <v>4900</v>
      </c>
    </row>
    <row r="103" spans="1:27" x14ac:dyDescent="0.25">
      <c r="A103" t="s">
        <v>341</v>
      </c>
      <c r="B103" s="3">
        <f>+B100*O101/1000</f>
        <v>50.4</v>
      </c>
      <c r="C103" s="3">
        <f t="shared" ref="C103:H105" si="89">+C100*O101/1000</f>
        <v>21</v>
      </c>
      <c r="D103" s="3">
        <f t="shared" si="89"/>
        <v>75.599999999999994</v>
      </c>
      <c r="E103" s="3">
        <f t="shared" si="89"/>
        <v>100.8</v>
      </c>
      <c r="F103" s="3">
        <f t="shared" si="89"/>
        <v>126</v>
      </c>
      <c r="G103" s="3">
        <f t="shared" si="89"/>
        <v>151.19999999999999</v>
      </c>
      <c r="H103" s="3">
        <f t="shared" si="89"/>
        <v>176.4</v>
      </c>
      <c r="I103" s="3">
        <f>+I100*$T$101/1000</f>
        <v>176.4</v>
      </c>
      <c r="J103" s="3">
        <f t="shared" ref="J103:L103" si="90">+J100*$T$101/1000</f>
        <v>176.4</v>
      </c>
      <c r="K103" s="3">
        <f t="shared" si="90"/>
        <v>176.4</v>
      </c>
      <c r="L103" s="3">
        <f t="shared" si="90"/>
        <v>176.4</v>
      </c>
      <c r="N103" t="s">
        <v>172</v>
      </c>
      <c r="O103">
        <v>1100</v>
      </c>
      <c r="P103">
        <v>1700</v>
      </c>
      <c r="Q103">
        <v>2200</v>
      </c>
      <c r="R103">
        <v>2800</v>
      </c>
      <c r="S103">
        <v>3300</v>
      </c>
      <c r="T103">
        <v>3900</v>
      </c>
    </row>
    <row r="104" spans="1:27" x14ac:dyDescent="0.25">
      <c r="A104" t="s">
        <v>342</v>
      </c>
      <c r="B104" s="3">
        <f>+B101*O102/1000</f>
        <v>1690.2</v>
      </c>
      <c r="C104" s="3">
        <f t="shared" si="89"/>
        <v>699.3</v>
      </c>
      <c r="D104" s="3">
        <f t="shared" si="89"/>
        <v>2629.2</v>
      </c>
      <c r="E104" s="3">
        <f t="shared" si="89"/>
        <v>3505.6</v>
      </c>
      <c r="F104" s="3">
        <f t="shared" si="89"/>
        <v>4382</v>
      </c>
      <c r="G104" s="3">
        <f t="shared" si="89"/>
        <v>5258.4</v>
      </c>
      <c r="H104" s="3">
        <f t="shared" si="89"/>
        <v>6134.8</v>
      </c>
      <c r="I104" s="3">
        <f>+I101*$T$102/1000</f>
        <v>6134.8</v>
      </c>
      <c r="J104" s="3">
        <f t="shared" ref="J104:L104" si="91">+J101*$T$102/1000</f>
        <v>6134.8</v>
      </c>
      <c r="K104" s="3">
        <f t="shared" si="91"/>
        <v>6134.8</v>
      </c>
      <c r="L104" s="3">
        <f t="shared" si="91"/>
        <v>6134.8</v>
      </c>
    </row>
    <row r="105" spans="1:27" x14ac:dyDescent="0.25">
      <c r="A105" t="s">
        <v>343</v>
      </c>
      <c r="B105" s="3">
        <f>+B102*O103/1000</f>
        <v>324.5</v>
      </c>
      <c r="C105" s="3">
        <f t="shared" si="89"/>
        <v>125.4</v>
      </c>
      <c r="D105" s="3">
        <f t="shared" si="89"/>
        <v>501.5</v>
      </c>
      <c r="E105" s="3">
        <f t="shared" si="89"/>
        <v>649</v>
      </c>
      <c r="F105" s="3">
        <f t="shared" si="89"/>
        <v>826</v>
      </c>
      <c r="G105" s="3">
        <f t="shared" si="89"/>
        <v>973.5</v>
      </c>
      <c r="H105" s="3">
        <f t="shared" si="89"/>
        <v>1150.5</v>
      </c>
      <c r="I105" s="3">
        <f>+I102*$T$103/1000</f>
        <v>1150.5</v>
      </c>
      <c r="J105" s="3">
        <f t="shared" ref="J105:L105" si="92">+J102*$T$103/1000</f>
        <v>1150.5</v>
      </c>
      <c r="K105" s="3">
        <f t="shared" si="92"/>
        <v>1150.5</v>
      </c>
      <c r="L105" s="3">
        <f t="shared" si="92"/>
        <v>1150.5</v>
      </c>
    </row>
    <row r="107" spans="1:27" x14ac:dyDescent="0.25">
      <c r="A107" s="1" t="s">
        <v>104</v>
      </c>
      <c r="B107">
        <v>2015</v>
      </c>
      <c r="C107">
        <v>2016</v>
      </c>
      <c r="D107">
        <v>2017</v>
      </c>
      <c r="E107">
        <v>2018</v>
      </c>
      <c r="F107">
        <v>2019</v>
      </c>
      <c r="G107">
        <v>2020</v>
      </c>
      <c r="H107">
        <v>2021</v>
      </c>
      <c r="I107">
        <v>2022</v>
      </c>
      <c r="J107">
        <v>2023</v>
      </c>
      <c r="K107">
        <v>2024</v>
      </c>
      <c r="L107">
        <v>2025</v>
      </c>
    </row>
    <row r="108" spans="1:27" x14ac:dyDescent="0.25">
      <c r="A108" t="s">
        <v>346</v>
      </c>
      <c r="B108" s="3">
        <v>13142</v>
      </c>
      <c r="C108" s="3">
        <v>11262</v>
      </c>
      <c r="D108" s="3">
        <f t="shared" ref="D108:I108" si="93">+C108*(1+$P$108)</f>
        <v>11487.24</v>
      </c>
      <c r="E108" s="3">
        <f t="shared" si="93"/>
        <v>11716.9848</v>
      </c>
      <c r="F108" s="3">
        <f t="shared" si="93"/>
        <v>11951.324496000001</v>
      </c>
      <c r="G108" s="3">
        <f t="shared" si="93"/>
        <v>12190.350985920002</v>
      </c>
      <c r="H108" s="3">
        <f t="shared" si="93"/>
        <v>12434.158005638403</v>
      </c>
      <c r="I108" s="3">
        <f t="shared" si="93"/>
        <v>12682.841165751172</v>
      </c>
      <c r="J108" s="3">
        <f t="shared" ref="J108:L108" si="94">+I108*(1+$P$108)</f>
        <v>12936.497989066194</v>
      </c>
      <c r="K108" s="3">
        <f t="shared" si="94"/>
        <v>13195.227948847518</v>
      </c>
      <c r="L108" s="3">
        <f t="shared" si="94"/>
        <v>13459.132507824468</v>
      </c>
      <c r="N108" t="s">
        <v>345</v>
      </c>
      <c r="P108">
        <v>0.02</v>
      </c>
    </row>
    <row r="110" spans="1:27" x14ac:dyDescent="0.25">
      <c r="A110" s="1" t="s">
        <v>350</v>
      </c>
    </row>
    <row r="111" spans="1:27" x14ac:dyDescent="0.25">
      <c r="B111">
        <v>2015</v>
      </c>
      <c r="C111">
        <v>2016</v>
      </c>
      <c r="D111">
        <v>2017</v>
      </c>
      <c r="E111">
        <v>2018</v>
      </c>
      <c r="F111">
        <v>2019</v>
      </c>
      <c r="G111">
        <v>2020</v>
      </c>
      <c r="H111">
        <v>2021</v>
      </c>
      <c r="I111">
        <v>2022</v>
      </c>
      <c r="J111">
        <v>2023</v>
      </c>
      <c r="K111">
        <v>2024</v>
      </c>
      <c r="L111">
        <v>2025</v>
      </c>
      <c r="V111">
        <v>2017</v>
      </c>
      <c r="W111">
        <v>2018</v>
      </c>
      <c r="X111">
        <v>2019</v>
      </c>
      <c r="Y111">
        <v>2020</v>
      </c>
      <c r="Z111">
        <v>2021</v>
      </c>
      <c r="AA111">
        <v>2022</v>
      </c>
    </row>
    <row r="112" spans="1:27" x14ac:dyDescent="0.25">
      <c r="A112" t="s">
        <v>357</v>
      </c>
      <c r="B112" s="3">
        <v>209150</v>
      </c>
      <c r="C112" s="3">
        <v>179150</v>
      </c>
      <c r="D112" s="3">
        <f>+C112-D113</f>
        <v>154150</v>
      </c>
      <c r="E112" s="3">
        <f>+D112-E113</f>
        <v>129150</v>
      </c>
      <c r="F112" s="3">
        <f>+E112-F113</f>
        <v>99150</v>
      </c>
      <c r="G112" s="3">
        <f>+F112-G113</f>
        <v>69150</v>
      </c>
      <c r="H112" s="3">
        <f>+G112-H113</f>
        <v>39150</v>
      </c>
      <c r="I112" s="3">
        <f>+H112-H113</f>
        <v>9150</v>
      </c>
      <c r="J112" s="3">
        <f t="shared" ref="J112:L112" si="95">+I112-I113</f>
        <v>0</v>
      </c>
      <c r="K112" s="3">
        <f t="shared" si="95"/>
        <v>0</v>
      </c>
      <c r="L112" s="3">
        <f t="shared" si="95"/>
        <v>0</v>
      </c>
      <c r="U112" t="s">
        <v>405</v>
      </c>
      <c r="V112" s="3">
        <v>25000</v>
      </c>
      <c r="W112" s="3">
        <v>25000</v>
      </c>
      <c r="X112" s="3">
        <v>30000</v>
      </c>
      <c r="Y112" s="3">
        <v>30000</v>
      </c>
      <c r="Z112" s="3">
        <v>30000</v>
      </c>
      <c r="AA112" s="3">
        <v>9150</v>
      </c>
    </row>
    <row r="113" spans="1:27" x14ac:dyDescent="0.25">
      <c r="A113" t="s">
        <v>351</v>
      </c>
      <c r="B113" s="3"/>
      <c r="C113" s="3">
        <v>22500</v>
      </c>
      <c r="D113" s="3">
        <v>25000</v>
      </c>
      <c r="E113" s="3">
        <v>25000</v>
      </c>
      <c r="F113" s="3">
        <v>30000</v>
      </c>
      <c r="G113" s="3">
        <v>30000</v>
      </c>
      <c r="H113" s="3">
        <v>30000</v>
      </c>
      <c r="I113" s="3">
        <f>+I112</f>
        <v>9150</v>
      </c>
      <c r="U113" t="s">
        <v>355</v>
      </c>
      <c r="V113" s="36">
        <v>1.2E-2</v>
      </c>
      <c r="W113" s="36">
        <v>1.2E-2</v>
      </c>
      <c r="X113" s="36">
        <v>1.2E-2</v>
      </c>
      <c r="Y113" s="36">
        <v>1.2E-2</v>
      </c>
      <c r="Z113" s="36">
        <v>1.2E-2</v>
      </c>
      <c r="AA113" s="36">
        <v>1.2E-2</v>
      </c>
    </row>
    <row r="114" spans="1:27" x14ac:dyDescent="0.25">
      <c r="A114" t="s">
        <v>355</v>
      </c>
      <c r="B114">
        <v>1.2E-2</v>
      </c>
      <c r="C114">
        <v>1.2E-2</v>
      </c>
      <c r="D114">
        <v>1.2E-2</v>
      </c>
      <c r="E114">
        <v>1.2E-2</v>
      </c>
      <c r="F114">
        <v>1.2E-2</v>
      </c>
      <c r="G114">
        <v>1.2E-2</v>
      </c>
      <c r="H114">
        <v>1.2E-2</v>
      </c>
      <c r="I114">
        <v>1.2E-2</v>
      </c>
      <c r="N114" t="s">
        <v>367</v>
      </c>
      <c r="U114" t="s">
        <v>354</v>
      </c>
      <c r="V114" s="36">
        <v>2.8E-3</v>
      </c>
      <c r="W114" s="36">
        <v>1.6999999999999999E-3</v>
      </c>
      <c r="X114" s="36">
        <v>1.6999999999999999E-3</v>
      </c>
      <c r="Y114" s="36">
        <v>1.6999999999999999E-3</v>
      </c>
      <c r="Z114" s="36">
        <v>1.6999999999999999E-3</v>
      </c>
      <c r="AA114" s="36">
        <v>1.6999999999999999E-3</v>
      </c>
    </row>
    <row r="115" spans="1:27" x14ac:dyDescent="0.25">
      <c r="A115" t="s">
        <v>354</v>
      </c>
      <c r="B115">
        <v>3.3E-3</v>
      </c>
      <c r="C115">
        <v>2.8999999999999998E-3</v>
      </c>
      <c r="D115">
        <v>2.8E-3</v>
      </c>
      <c r="E115">
        <v>1.6999999999999999E-3</v>
      </c>
      <c r="F115">
        <v>1.6999999999999999E-3</v>
      </c>
      <c r="G115">
        <v>1.6999999999999999E-3</v>
      </c>
      <c r="H115">
        <v>1.6999999999999999E-3</v>
      </c>
      <c r="I115">
        <v>1.6999999999999999E-3</v>
      </c>
      <c r="N115" t="s">
        <v>353</v>
      </c>
      <c r="U115" t="s">
        <v>352</v>
      </c>
      <c r="V115" s="3">
        <v>2281.42</v>
      </c>
      <c r="W115" s="3">
        <v>1769.355</v>
      </c>
      <c r="X115" s="3">
        <v>1358.355</v>
      </c>
      <c r="Y115" s="3">
        <v>947.35500000000002</v>
      </c>
      <c r="Z115" s="3">
        <v>536.35500000000002</v>
      </c>
      <c r="AA115" s="3">
        <v>125.355</v>
      </c>
    </row>
    <row r="116" spans="1:27" x14ac:dyDescent="0.25">
      <c r="A116" t="s">
        <v>356</v>
      </c>
      <c r="B116">
        <f t="shared" ref="B116:C116" si="96">+B115+B114</f>
        <v>1.5300000000000001E-2</v>
      </c>
      <c r="C116">
        <f t="shared" si="96"/>
        <v>1.49E-2</v>
      </c>
      <c r="D116">
        <f>+D115+D114</f>
        <v>1.4800000000000001E-2</v>
      </c>
      <c r="E116">
        <f t="shared" ref="E116" si="97">+E115+E114</f>
        <v>1.37E-2</v>
      </c>
      <c r="F116">
        <f t="shared" ref="F116:G116" si="98">+F115+F114</f>
        <v>1.37E-2</v>
      </c>
      <c r="G116">
        <f t="shared" si="98"/>
        <v>1.37E-2</v>
      </c>
      <c r="H116">
        <f t="shared" ref="H116" si="99">+H115+H114</f>
        <v>1.37E-2</v>
      </c>
      <c r="I116">
        <f t="shared" ref="I116" si="100">+I115+I114</f>
        <v>1.37E-2</v>
      </c>
    </row>
    <row r="117" spans="1:27" x14ac:dyDescent="0.25">
      <c r="A117" t="s">
        <v>352</v>
      </c>
      <c r="B117" s="3">
        <f t="shared" ref="B117:L117" si="101">+B112*B116</f>
        <v>3199.9950000000003</v>
      </c>
      <c r="C117" s="3">
        <f t="shared" si="101"/>
        <v>2669.335</v>
      </c>
      <c r="D117" s="3">
        <f t="shared" si="101"/>
        <v>2281.42</v>
      </c>
      <c r="E117" s="3">
        <f t="shared" si="101"/>
        <v>1769.355</v>
      </c>
      <c r="F117" s="3">
        <f t="shared" si="101"/>
        <v>1358.355</v>
      </c>
      <c r="G117" s="3">
        <f t="shared" si="101"/>
        <v>947.35500000000002</v>
      </c>
      <c r="H117" s="3">
        <f t="shared" si="101"/>
        <v>536.35500000000002</v>
      </c>
      <c r="I117" s="3">
        <f t="shared" si="101"/>
        <v>125.355</v>
      </c>
      <c r="J117" s="3">
        <f t="shared" si="101"/>
        <v>0</v>
      </c>
      <c r="K117" s="3">
        <f t="shared" si="101"/>
        <v>0</v>
      </c>
      <c r="L117" s="3">
        <f t="shared" si="101"/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abSelected="1" zoomScale="85" zoomScaleNormal="85" workbookViewId="0">
      <selection activeCell="W51" sqref="W51"/>
    </sheetView>
  </sheetViews>
  <sheetFormatPr defaultRowHeight="15" x14ac:dyDescent="0.25"/>
  <cols>
    <col min="1" max="1" width="17.42578125" customWidth="1"/>
  </cols>
  <sheetData>
    <row r="1" spans="1:17" x14ac:dyDescent="0.25">
      <c r="A1" t="s">
        <v>419</v>
      </c>
    </row>
    <row r="2" spans="1:17" x14ac:dyDescent="0.25">
      <c r="B2" s="41">
        <v>0</v>
      </c>
      <c r="C2" s="41">
        <v>5.0000000000000001E-3</v>
      </c>
      <c r="D2" s="41">
        <v>0.01</v>
      </c>
      <c r="E2" s="41">
        <v>1.4999999999999999E-2</v>
      </c>
      <c r="F2" s="41">
        <v>0.02</v>
      </c>
      <c r="G2" s="41">
        <v>2.5000000000000001E-2</v>
      </c>
      <c r="H2" s="41">
        <v>0.03</v>
      </c>
      <c r="I2" s="43">
        <v>3.5000000000000003E-2</v>
      </c>
      <c r="J2" s="41">
        <v>0.04</v>
      </c>
      <c r="K2" s="41">
        <v>4.4999999999999998E-2</v>
      </c>
      <c r="L2" s="41">
        <v>0.05</v>
      </c>
      <c r="M2" s="39"/>
      <c r="N2" s="39"/>
      <c r="O2" s="39"/>
      <c r="P2" s="39"/>
    </row>
    <row r="3" spans="1:17" x14ac:dyDescent="0.25">
      <c r="A3" t="s">
        <v>420</v>
      </c>
      <c r="B3" s="3">
        <v>-64782.317209071654</v>
      </c>
      <c r="C3" s="3">
        <v>28679.701764797093</v>
      </c>
      <c r="D3" s="3">
        <v>125097.8190086945</v>
      </c>
      <c r="E3" s="3">
        <v>224556.20758234884</v>
      </c>
      <c r="F3" s="3">
        <v>327141.07246696297</v>
      </c>
      <c r="G3" s="3">
        <v>432940.69004417304</v>
      </c>
      <c r="H3" s="3">
        <v>542045.44815101917</v>
      </c>
      <c r="I3" s="3">
        <v>646029.37495184678</v>
      </c>
      <c r="J3" s="3">
        <v>770542.73898540565</v>
      </c>
      <c r="K3" s="3">
        <v>890126.97333489335</v>
      </c>
      <c r="L3" s="3">
        <v>1013399.8356897864</v>
      </c>
    </row>
    <row r="4" spans="1:17" x14ac:dyDescent="0.25">
      <c r="D4" s="3"/>
      <c r="E4" s="3"/>
      <c r="F4" s="3"/>
      <c r="G4" s="3"/>
      <c r="H4" s="3"/>
      <c r="I4" s="3"/>
      <c r="J4" s="3"/>
      <c r="K4" s="3"/>
      <c r="L4" s="3"/>
    </row>
    <row r="5" spans="1:17" x14ac:dyDescent="0.25">
      <c r="A5" t="s">
        <v>421</v>
      </c>
    </row>
    <row r="6" spans="1:17" x14ac:dyDescent="0.25">
      <c r="B6" s="41">
        <v>-0.02</v>
      </c>
      <c r="C6" s="41">
        <v>-1.4999999999999999E-2</v>
      </c>
      <c r="D6" s="41">
        <v>-0.01</v>
      </c>
      <c r="E6" s="41">
        <v>-5.0000000000000001E-3</v>
      </c>
      <c r="F6" s="41">
        <v>0</v>
      </c>
      <c r="G6" s="41">
        <v>5.0000000000000001E-3</v>
      </c>
      <c r="H6" s="41">
        <v>0.01</v>
      </c>
      <c r="I6" s="41">
        <v>1.4999999999999999E-2</v>
      </c>
      <c r="J6" s="43">
        <v>0.02</v>
      </c>
      <c r="K6" s="41">
        <v>2.5000000000000001E-2</v>
      </c>
      <c r="L6" s="41">
        <v>0.03</v>
      </c>
    </row>
    <row r="7" spans="1:17" x14ac:dyDescent="0.25">
      <c r="A7" t="s">
        <v>420</v>
      </c>
      <c r="B7" s="3">
        <v>520058.15009061107</v>
      </c>
      <c r="C7" s="3">
        <v>534571.99022014218</v>
      </c>
      <c r="D7" s="3">
        <v>549424.57160690427</v>
      </c>
      <c r="E7" s="3">
        <v>564622.48141510598</v>
      </c>
      <c r="F7" s="3">
        <v>580172.40414326428</v>
      </c>
      <c r="G7" s="3">
        <v>596081.12258656195</v>
      </c>
      <c r="H7" s="3">
        <v>612355.51880396693</v>
      </c>
      <c r="I7" s="3">
        <v>629002.57509009668</v>
      </c>
      <c r="J7" s="3">
        <v>646029.37495184678</v>
      </c>
      <c r="K7" s="3">
        <v>663443.10408976825</v>
      </c>
      <c r="L7" s="3">
        <v>681251.05138421222</v>
      </c>
    </row>
    <row r="8" spans="1:17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7" x14ac:dyDescent="0.25">
      <c r="A9" t="s">
        <v>422</v>
      </c>
    </row>
    <row r="10" spans="1:17" x14ac:dyDescent="0.25">
      <c r="B10" s="41">
        <v>-0.02</v>
      </c>
      <c r="C10" s="41">
        <v>-1.4999999999999999E-2</v>
      </c>
      <c r="D10" s="41">
        <v>-0.01</v>
      </c>
      <c r="E10" s="41">
        <v>-5.0000000000000001E-3</v>
      </c>
      <c r="F10" s="41">
        <v>0</v>
      </c>
      <c r="G10" s="41">
        <v>5.0000000000000001E-3</v>
      </c>
      <c r="H10" s="41">
        <v>0.01</v>
      </c>
      <c r="I10" s="41">
        <v>1.4999999999999999E-2</v>
      </c>
      <c r="J10" s="43">
        <v>0.02</v>
      </c>
      <c r="K10" s="41">
        <v>2.5000000000000001E-2</v>
      </c>
      <c r="L10" s="41">
        <v>0.03</v>
      </c>
      <c r="M10" s="41">
        <v>3.5000000000000003E-2</v>
      </c>
      <c r="N10" s="41">
        <v>0.04</v>
      </c>
      <c r="O10" s="41">
        <v>4.4999999999999998E-2</v>
      </c>
      <c r="P10" s="41">
        <v>0.05</v>
      </c>
      <c r="Q10" s="41"/>
    </row>
    <row r="11" spans="1:17" x14ac:dyDescent="0.25">
      <c r="A11" t="s">
        <v>420</v>
      </c>
      <c r="B11" s="3">
        <v>729116.78223773721</v>
      </c>
      <c r="C11" s="3">
        <v>719071.79105804209</v>
      </c>
      <c r="D11" s="3">
        <v>708930.33256297279</v>
      </c>
      <c r="E11" s="3">
        <v>698691.93544863956</v>
      </c>
      <c r="F11" s="3">
        <v>688356.12841115135</v>
      </c>
      <c r="G11" s="3">
        <v>677922.44014661829</v>
      </c>
      <c r="H11" s="3">
        <v>667390.39935115003</v>
      </c>
      <c r="I11" s="3">
        <v>656759.53472085623</v>
      </c>
      <c r="J11" s="3">
        <v>646029.37495184678</v>
      </c>
      <c r="K11" s="3">
        <v>635199.44874023087</v>
      </c>
      <c r="L11" s="3">
        <v>624269.28478211863</v>
      </c>
      <c r="M11" s="3">
        <v>613238.41177361936</v>
      </c>
      <c r="N11" s="3">
        <v>602106.3584108433</v>
      </c>
      <c r="O11" s="3">
        <v>590872.65338989953</v>
      </c>
      <c r="P11" s="3">
        <v>579536.82540689874</v>
      </c>
    </row>
    <row r="13" spans="1:17" x14ac:dyDescent="0.25">
      <c r="A13" t="s">
        <v>423</v>
      </c>
    </row>
    <row r="14" spans="1:17" x14ac:dyDescent="0.25">
      <c r="B14" s="41">
        <v>0</v>
      </c>
      <c r="C14" s="41">
        <v>5.0000000000000001E-3</v>
      </c>
      <c r="D14" s="41">
        <v>0.01</v>
      </c>
      <c r="E14" s="41">
        <v>1.4999999999999999E-2</v>
      </c>
      <c r="F14" s="43">
        <v>0.02</v>
      </c>
      <c r="G14" s="41">
        <v>2.5000000000000001E-2</v>
      </c>
      <c r="H14" s="41">
        <v>0.03</v>
      </c>
      <c r="I14" s="41">
        <v>3.5000000000000003E-2</v>
      </c>
      <c r="J14" s="41">
        <v>0.04</v>
      </c>
    </row>
    <row r="15" spans="1:17" x14ac:dyDescent="0.25">
      <c r="A15" t="s">
        <v>420</v>
      </c>
      <c r="B15" s="3">
        <v>663755.43690673762</v>
      </c>
      <c r="C15" s="3">
        <v>659582.25242694258</v>
      </c>
      <c r="D15" s="3">
        <v>655241.10425963183</v>
      </c>
      <c r="E15" s="3">
        <v>650725.66032685316</v>
      </c>
      <c r="F15" s="3">
        <v>646029.37495184678</v>
      </c>
      <c r="G15" s="3">
        <v>641145.48262882535</v>
      </c>
      <c r="H15" s="3">
        <v>636066.99164088955</v>
      </c>
      <c r="I15" s="3">
        <v>630786.67752312217</v>
      </c>
      <c r="J15" s="3">
        <v>625297.07636785472</v>
      </c>
    </row>
    <row r="17" spans="1:26" x14ac:dyDescent="0.25">
      <c r="A17" t="s">
        <v>424</v>
      </c>
    </row>
    <row r="18" spans="1:26" x14ac:dyDescent="0.25">
      <c r="B18" s="40">
        <v>-0.02</v>
      </c>
      <c r="C18" s="40">
        <v>-1.4999999999999999E-2</v>
      </c>
      <c r="D18" s="40">
        <v>-0.01</v>
      </c>
      <c r="E18" s="40">
        <v>-5.0000000000000001E-3</v>
      </c>
      <c r="F18" s="40">
        <v>0</v>
      </c>
      <c r="G18" s="40">
        <v>5.0000000000000001E-3</v>
      </c>
      <c r="H18" s="40">
        <v>0.01</v>
      </c>
      <c r="I18" s="40">
        <v>1.4999999999999999E-2</v>
      </c>
      <c r="J18" s="40">
        <v>0.02</v>
      </c>
      <c r="K18" s="40">
        <v>2.5000000000000001E-2</v>
      </c>
      <c r="L18" s="40">
        <v>0.03</v>
      </c>
      <c r="M18" s="40">
        <v>3.5000000000000003E-2</v>
      </c>
      <c r="N18" s="40">
        <v>0.04</v>
      </c>
      <c r="O18" s="40">
        <v>4.4999999999999998E-2</v>
      </c>
      <c r="P18" s="40">
        <v>0.05</v>
      </c>
    </row>
    <row r="19" spans="1:26" x14ac:dyDescent="0.25">
      <c r="A19" t="s">
        <v>425</v>
      </c>
      <c r="B19" s="3"/>
      <c r="C19" s="3"/>
      <c r="D19" s="3"/>
      <c r="E19" s="3"/>
      <c r="F19" s="3">
        <v>-64782.317209071654</v>
      </c>
      <c r="G19" s="3">
        <v>28679.701764797093</v>
      </c>
      <c r="H19" s="3">
        <v>125097.8190086945</v>
      </c>
      <c r="I19" s="3">
        <v>224556.20758234884</v>
      </c>
      <c r="J19" s="3">
        <v>327141.07246696297</v>
      </c>
      <c r="K19" s="3">
        <v>432940.69004417304</v>
      </c>
      <c r="L19" s="3">
        <v>542045.44815101917</v>
      </c>
      <c r="M19" s="3">
        <v>646029.37495184678</v>
      </c>
      <c r="N19" s="3">
        <v>770542.73898540565</v>
      </c>
      <c r="O19" s="3">
        <v>890126.97333489335</v>
      </c>
      <c r="P19" s="3">
        <v>1013399.8356897864</v>
      </c>
    </row>
    <row r="20" spans="1:26" x14ac:dyDescent="0.25">
      <c r="A20" t="s">
        <v>426</v>
      </c>
      <c r="B20" s="3">
        <v>520058.15009061107</v>
      </c>
      <c r="C20" s="3">
        <v>534571.99022014218</v>
      </c>
      <c r="D20" s="3">
        <v>549424.57160690427</v>
      </c>
      <c r="E20" s="3">
        <v>564622.48141510598</v>
      </c>
      <c r="F20" s="3">
        <v>580172.40414326428</v>
      </c>
      <c r="G20" s="3">
        <v>596081.12258656195</v>
      </c>
      <c r="H20" s="3">
        <v>612355.51880396693</v>
      </c>
      <c r="I20" s="3">
        <v>629002.57509009668</v>
      </c>
      <c r="J20" s="3">
        <v>646029.37495184678</v>
      </c>
      <c r="K20" s="3">
        <v>663443.10408976825</v>
      </c>
      <c r="L20" s="3">
        <v>681251.05138421222</v>
      </c>
      <c r="M20" s="3">
        <v>699460.60988621251</v>
      </c>
      <c r="N20" s="3">
        <v>718079.27781314286</v>
      </c>
      <c r="O20" s="3">
        <v>737114.6595491129</v>
      </c>
      <c r="P20" s="3">
        <v>756574.46665013453</v>
      </c>
    </row>
    <row r="21" spans="1:26" x14ac:dyDescent="0.25">
      <c r="A21" t="s">
        <v>107</v>
      </c>
      <c r="B21" s="3">
        <v>729116.78223773721</v>
      </c>
      <c r="C21" s="3">
        <v>719071.79105804209</v>
      </c>
      <c r="D21" s="3">
        <v>708930.33256297279</v>
      </c>
      <c r="E21" s="3">
        <v>698691.93544863956</v>
      </c>
      <c r="F21" s="3">
        <v>688356.12841115135</v>
      </c>
      <c r="G21" s="3">
        <v>677922.44014661829</v>
      </c>
      <c r="H21" s="3">
        <v>667390.39935115003</v>
      </c>
      <c r="I21" s="3">
        <v>656759.53472085623</v>
      </c>
      <c r="J21" s="3">
        <v>646029.37495184678</v>
      </c>
      <c r="K21" s="3">
        <v>635199.44874023087</v>
      </c>
      <c r="L21" s="3">
        <v>624269.28478211863</v>
      </c>
      <c r="M21" s="3">
        <v>613238.41177361936</v>
      </c>
      <c r="N21" s="3">
        <v>602106.3584108433</v>
      </c>
      <c r="O21" s="3">
        <v>590872.65338989953</v>
      </c>
      <c r="P21" s="3">
        <v>579536.82540689874</v>
      </c>
    </row>
    <row r="22" spans="1:26" x14ac:dyDescent="0.25">
      <c r="A22" t="s">
        <v>228</v>
      </c>
      <c r="B22" s="3"/>
      <c r="C22" s="3"/>
      <c r="D22" s="3"/>
      <c r="E22" s="3"/>
      <c r="F22" s="3">
        <v>663755.43690673762</v>
      </c>
      <c r="G22" s="3">
        <v>659582.25242694258</v>
      </c>
      <c r="H22" s="3">
        <v>655241.10425963183</v>
      </c>
      <c r="I22" s="3">
        <v>650725.66032685316</v>
      </c>
      <c r="J22" s="3">
        <v>646029.37495184678</v>
      </c>
      <c r="K22" s="3">
        <v>641145.48262882535</v>
      </c>
      <c r="L22" s="3">
        <v>636066.99164088955</v>
      </c>
      <c r="M22" s="3">
        <v>630786.67752312217</v>
      </c>
      <c r="N22" s="3">
        <v>625297.07636785472</v>
      </c>
      <c r="O22" s="3"/>
      <c r="P22" s="3"/>
    </row>
    <row r="23" spans="1:26" x14ac:dyDescent="0.25">
      <c r="A23" t="s">
        <v>427</v>
      </c>
      <c r="B23" s="3">
        <v>646029</v>
      </c>
      <c r="C23" s="3">
        <v>646029</v>
      </c>
      <c r="D23" s="3">
        <v>646029</v>
      </c>
      <c r="E23" s="3">
        <v>646029</v>
      </c>
      <c r="F23" s="3">
        <v>646029</v>
      </c>
      <c r="G23" s="3">
        <v>646029</v>
      </c>
      <c r="H23" s="3">
        <v>646029</v>
      </c>
      <c r="I23" s="3">
        <v>646029</v>
      </c>
      <c r="J23" s="3">
        <v>646029</v>
      </c>
      <c r="K23" s="3">
        <v>646029</v>
      </c>
      <c r="L23" s="3">
        <v>646029</v>
      </c>
      <c r="M23" s="3">
        <v>646029</v>
      </c>
      <c r="N23" s="3">
        <v>646029</v>
      </c>
      <c r="O23" s="3">
        <v>646029</v>
      </c>
      <c r="P23" s="3">
        <v>646029</v>
      </c>
    </row>
    <row r="25" spans="1:26" x14ac:dyDescent="0.25">
      <c r="A25" t="s">
        <v>428</v>
      </c>
      <c r="R25" t="s">
        <v>429</v>
      </c>
    </row>
    <row r="26" spans="1:26" x14ac:dyDescent="0.25">
      <c r="B26" s="39">
        <v>0</v>
      </c>
      <c r="C26" s="42">
        <v>0.05</v>
      </c>
      <c r="D26" s="39">
        <v>0.1</v>
      </c>
      <c r="E26" s="39">
        <v>0.15</v>
      </c>
      <c r="F26" s="39">
        <v>0.2</v>
      </c>
      <c r="G26" s="39"/>
      <c r="R26">
        <v>2017</v>
      </c>
      <c r="S26">
        <v>2018</v>
      </c>
      <c r="T26">
        <v>2019</v>
      </c>
      <c r="U26">
        <v>2020</v>
      </c>
      <c r="V26">
        <v>2021</v>
      </c>
      <c r="W26">
        <v>2022</v>
      </c>
      <c r="X26">
        <v>2023</v>
      </c>
      <c r="Y26">
        <v>2024</v>
      </c>
      <c r="Z26">
        <v>2025</v>
      </c>
    </row>
    <row r="27" spans="1:26" x14ac:dyDescent="0.25">
      <c r="A27" t="s">
        <v>192</v>
      </c>
      <c r="B27">
        <v>733298.98287711898</v>
      </c>
      <c r="C27">
        <v>646029.37495184678</v>
      </c>
      <c r="D27">
        <v>527764.61679618561</v>
      </c>
      <c r="E27">
        <v>369079.99543163192</v>
      </c>
      <c r="F27">
        <v>158231.3482790991</v>
      </c>
      <c r="Q27" s="39">
        <v>0</v>
      </c>
      <c r="R27" s="26">
        <v>4.5999999999999996</v>
      </c>
      <c r="S27" s="26">
        <f>+R27+R27*$Q27</f>
        <v>4.5999999999999996</v>
      </c>
      <c r="T27" s="26">
        <f t="shared" ref="T27:Z27" si="0">+S27+S27*$Q27</f>
        <v>4.5999999999999996</v>
      </c>
      <c r="U27" s="26">
        <f t="shared" si="0"/>
        <v>4.5999999999999996</v>
      </c>
      <c r="V27" s="26">
        <f t="shared" si="0"/>
        <v>4.5999999999999996</v>
      </c>
      <c r="W27" s="26">
        <f t="shared" si="0"/>
        <v>4.5999999999999996</v>
      </c>
      <c r="X27" s="26">
        <f t="shared" si="0"/>
        <v>4.5999999999999996</v>
      </c>
      <c r="Y27" s="26">
        <f t="shared" si="0"/>
        <v>4.5999999999999996</v>
      </c>
      <c r="Z27" s="26">
        <f t="shared" si="0"/>
        <v>4.5999999999999996</v>
      </c>
    </row>
    <row r="28" spans="1:26" x14ac:dyDescent="0.25">
      <c r="Q28" s="39">
        <v>0.05</v>
      </c>
      <c r="R28" s="26">
        <v>4.5999999999999996</v>
      </c>
      <c r="S28" s="26">
        <f t="shared" ref="S28:Z31" si="1">+R28+R28*$Q28</f>
        <v>4.83</v>
      </c>
      <c r="T28" s="26">
        <f t="shared" si="1"/>
        <v>5.0715000000000003</v>
      </c>
      <c r="U28" s="26">
        <f t="shared" si="1"/>
        <v>5.325075</v>
      </c>
      <c r="V28" s="26">
        <f t="shared" si="1"/>
        <v>5.5913287499999997</v>
      </c>
      <c r="W28" s="26">
        <f t="shared" si="1"/>
        <v>5.8708951874999995</v>
      </c>
      <c r="X28" s="26">
        <f t="shared" si="1"/>
        <v>6.1644399468749995</v>
      </c>
      <c r="Y28" s="26">
        <f t="shared" si="1"/>
        <v>6.4726619442187499</v>
      </c>
      <c r="Z28" s="26">
        <f t="shared" si="1"/>
        <v>6.796295041429687</v>
      </c>
    </row>
    <row r="29" spans="1:26" x14ac:dyDescent="0.25">
      <c r="Q29" s="39">
        <v>0.1</v>
      </c>
      <c r="R29" s="26">
        <v>4.5999999999999996</v>
      </c>
      <c r="S29" s="26">
        <f t="shared" si="1"/>
        <v>5.0599999999999996</v>
      </c>
      <c r="T29" s="26">
        <f t="shared" si="1"/>
        <v>5.5659999999999998</v>
      </c>
      <c r="U29" s="26">
        <f t="shared" si="1"/>
        <v>6.1226000000000003</v>
      </c>
      <c r="V29" s="26">
        <f t="shared" si="1"/>
        <v>6.7348600000000003</v>
      </c>
      <c r="W29" s="26">
        <f t="shared" si="1"/>
        <v>7.4083459999999999</v>
      </c>
      <c r="X29" s="26">
        <f t="shared" si="1"/>
        <v>8.1491805999999993</v>
      </c>
      <c r="Y29" s="26">
        <f t="shared" si="1"/>
        <v>8.9640986599999994</v>
      </c>
      <c r="Z29" s="26">
        <f t="shared" si="1"/>
        <v>9.8605085260000003</v>
      </c>
    </row>
    <row r="30" spans="1:26" x14ac:dyDescent="0.25">
      <c r="Q30" s="39">
        <v>0.15</v>
      </c>
      <c r="R30" s="26">
        <v>4.5999999999999996</v>
      </c>
      <c r="S30" s="26">
        <f t="shared" si="1"/>
        <v>5.2899999999999991</v>
      </c>
      <c r="T30" s="26">
        <f t="shared" si="1"/>
        <v>6.083499999999999</v>
      </c>
      <c r="U30" s="26">
        <f t="shared" si="1"/>
        <v>6.9960249999999986</v>
      </c>
      <c r="V30" s="26">
        <f t="shared" si="1"/>
        <v>8.0454287499999992</v>
      </c>
      <c r="W30" s="26">
        <f t="shared" si="1"/>
        <v>9.2522430624999998</v>
      </c>
      <c r="X30" s="26">
        <f t="shared" si="1"/>
        <v>10.640079521875</v>
      </c>
      <c r="Y30" s="26">
        <f t="shared" si="1"/>
        <v>12.23609145015625</v>
      </c>
      <c r="Z30" s="26">
        <f t="shared" si="1"/>
        <v>14.071505167679687</v>
      </c>
    </row>
    <row r="31" spans="1:26" x14ac:dyDescent="0.25">
      <c r="Q31" s="39">
        <v>0.2</v>
      </c>
      <c r="R31" s="26">
        <v>4.5999999999999996</v>
      </c>
      <c r="S31" s="26">
        <f t="shared" si="1"/>
        <v>5.52</v>
      </c>
      <c r="T31" s="26">
        <f t="shared" si="1"/>
        <v>6.6239999999999997</v>
      </c>
      <c r="U31" s="26">
        <f t="shared" si="1"/>
        <v>7.9487999999999994</v>
      </c>
      <c r="V31" s="26">
        <f t="shared" si="1"/>
        <v>9.5385600000000004</v>
      </c>
      <c r="W31" s="26">
        <f t="shared" si="1"/>
        <v>11.446272</v>
      </c>
      <c r="X31" s="26">
        <f t="shared" si="1"/>
        <v>13.735526400000001</v>
      </c>
      <c r="Y31" s="26">
        <f t="shared" si="1"/>
        <v>16.482631680000001</v>
      </c>
      <c r="Z31" s="26">
        <f t="shared" si="1"/>
        <v>19.779158016</v>
      </c>
    </row>
    <row r="40" spans="1:10" x14ac:dyDescent="0.25">
      <c r="A40" t="s">
        <v>430</v>
      </c>
    </row>
    <row r="41" spans="1:10" x14ac:dyDescent="0.25">
      <c r="B41" s="41">
        <v>-0.02</v>
      </c>
      <c r="C41" s="41">
        <v>-1.4999999999999999E-2</v>
      </c>
      <c r="D41" s="41">
        <v>-0.01</v>
      </c>
      <c r="E41" s="41">
        <v>-5.0000000000000001E-3</v>
      </c>
      <c r="F41" s="41">
        <v>0</v>
      </c>
      <c r="G41" s="41">
        <v>5.0000000000000001E-3</v>
      </c>
      <c r="H41" s="41">
        <v>0.01</v>
      </c>
      <c r="I41" s="41">
        <v>1.4999999999999999E-2</v>
      </c>
      <c r="J41" s="41">
        <v>0.02</v>
      </c>
    </row>
    <row r="42" spans="1:10" x14ac:dyDescent="0.25">
      <c r="A42" t="s">
        <v>431</v>
      </c>
      <c r="B42">
        <v>739942.19804167724</v>
      </c>
      <c r="C42">
        <v>717272.23447762127</v>
      </c>
      <c r="D42">
        <v>694070.37983394926</v>
      </c>
      <c r="E42">
        <v>670326.26686466637</v>
      </c>
      <c r="F42" s="28">
        <v>646029.37495184678</v>
      </c>
      <c r="G42">
        <v>621169.02858818322</v>
      </c>
      <c r="H42">
        <v>595734.39585203293</v>
      </c>
      <c r="I42">
        <v>569714.48687496304</v>
      </c>
      <c r="J42">
        <v>543098.15230178973</v>
      </c>
    </row>
    <row r="43" spans="1:10" x14ac:dyDescent="0.25">
      <c r="A43" t="s">
        <v>432</v>
      </c>
      <c r="B43">
        <v>610729.75916311191</v>
      </c>
      <c r="C43">
        <v>622177.12608301302</v>
      </c>
      <c r="D43">
        <v>633941.11008779076</v>
      </c>
      <c r="E43" s="28">
        <v>646029.37495184678</v>
      </c>
      <c r="F43">
        <v>658449.73530147807</v>
      </c>
      <c r="G43">
        <v>671210.1588538998</v>
      </c>
      <c r="H43">
        <v>684318.76867843862</v>
      </c>
      <c r="I43">
        <v>697783.8454799999</v>
      </c>
      <c r="J43">
        <v>711613.82990493509</v>
      </c>
    </row>
    <row r="52" spans="1:10" x14ac:dyDescent="0.25">
      <c r="A52" t="s">
        <v>433</v>
      </c>
    </row>
    <row r="53" spans="1:10" x14ac:dyDescent="0.25">
      <c r="B53" s="39">
        <v>-0.03</v>
      </c>
      <c r="C53" s="40">
        <v>-2.5000000000000001E-2</v>
      </c>
      <c r="D53" s="39">
        <v>-0.02</v>
      </c>
      <c r="E53" s="40">
        <v>-1.4999999999999999E-2</v>
      </c>
      <c r="F53" s="39">
        <v>-0.01</v>
      </c>
      <c r="G53" s="40">
        <v>-5.0000000000000001E-3</v>
      </c>
      <c r="H53" s="39">
        <v>0</v>
      </c>
      <c r="I53" s="40">
        <v>5.0000000000000001E-3</v>
      </c>
      <c r="J53" s="39">
        <v>0.01</v>
      </c>
    </row>
    <row r="54" spans="1:10" x14ac:dyDescent="0.25">
      <c r="A54" t="s">
        <v>434</v>
      </c>
      <c r="B54">
        <v>550484.7048114643</v>
      </c>
      <c r="C54">
        <v>570403.07043043105</v>
      </c>
      <c r="D54">
        <v>592656.53166709607</v>
      </c>
      <c r="E54">
        <v>617681.2832196597</v>
      </c>
      <c r="F54">
        <v>646029.37495184678</v>
      </c>
      <c r="G54">
        <v>678409.91216514097</v>
      </c>
      <c r="H54">
        <v>715749.18402059446</v>
      </c>
      <c r="I54">
        <v>759280.70659834496</v>
      </c>
      <c r="J54">
        <v>810684.11390986596</v>
      </c>
    </row>
  </sheetData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9"/>
  <sheetViews>
    <sheetView topLeftCell="A40" zoomScale="85" zoomScaleNormal="85" workbookViewId="0">
      <selection activeCell="M123" sqref="M123"/>
    </sheetView>
  </sheetViews>
  <sheetFormatPr defaultRowHeight="15" x14ac:dyDescent="0.25"/>
  <cols>
    <col min="1" max="1" width="25.5703125" customWidth="1"/>
    <col min="2" max="2" width="11" customWidth="1"/>
    <col min="3" max="3" width="9.140625" bestFit="1" customWidth="1"/>
    <col min="4" max="4" width="10.42578125" bestFit="1" customWidth="1"/>
    <col min="5" max="9" width="9.140625" bestFit="1" customWidth="1"/>
    <col min="13" max="13" width="9.7109375" customWidth="1"/>
    <col min="27" max="28" width="7.85546875" bestFit="1" customWidth="1"/>
    <col min="29" max="29" width="17.85546875" customWidth="1"/>
  </cols>
  <sheetData>
    <row r="1" spans="1:35" x14ac:dyDescent="0.25">
      <c r="A1" s="1" t="s">
        <v>362</v>
      </c>
    </row>
    <row r="2" spans="1:35" x14ac:dyDescent="0.25"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  <c r="I2">
        <v>2022</v>
      </c>
      <c r="J2">
        <v>2023</v>
      </c>
      <c r="K2">
        <v>2024</v>
      </c>
      <c r="L2">
        <v>2025</v>
      </c>
      <c r="O2" t="s">
        <v>246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</row>
    <row r="3" spans="1:35" x14ac:dyDescent="0.25">
      <c r="A3" t="s">
        <v>363</v>
      </c>
      <c r="B3" s="26">
        <v>24.6</v>
      </c>
      <c r="C3" s="26">
        <v>24.431999999999999</v>
      </c>
      <c r="D3" s="26">
        <f>1/D4</f>
        <v>23.441162681669013</v>
      </c>
      <c r="E3" s="26">
        <f>1/E4</f>
        <v>23.15565229472514</v>
      </c>
      <c r="F3" s="26">
        <v>23.88</v>
      </c>
      <c r="G3" s="26">
        <v>23.88</v>
      </c>
      <c r="H3" s="26">
        <v>23.88</v>
      </c>
      <c r="I3" s="26">
        <v>23.88</v>
      </c>
      <c r="J3" s="26">
        <v>23.88</v>
      </c>
      <c r="K3" s="26">
        <v>23.88</v>
      </c>
      <c r="L3" s="26">
        <v>23.88</v>
      </c>
      <c r="P3" s="22" t="s">
        <v>254</v>
      </c>
      <c r="Q3" s="14">
        <v>65.22</v>
      </c>
      <c r="R3" s="14">
        <v>48.23</v>
      </c>
      <c r="S3" s="14">
        <v>77.180000000000007</v>
      </c>
      <c r="T3" s="14">
        <v>67.5</v>
      </c>
      <c r="U3" s="14">
        <v>61.95</v>
      </c>
      <c r="V3" s="14">
        <v>60.24</v>
      </c>
      <c r="W3" s="14">
        <v>60.16</v>
      </c>
      <c r="X3" s="14">
        <v>60.11</v>
      </c>
    </row>
    <row r="4" spans="1:35" x14ac:dyDescent="0.25">
      <c r="A4" t="s">
        <v>373</v>
      </c>
      <c r="D4">
        <v>4.2659999999999997E-2</v>
      </c>
      <c r="E4">
        <v>4.3186000000000002E-2</v>
      </c>
      <c r="P4" t="s">
        <v>255</v>
      </c>
      <c r="Q4" s="14">
        <v>57.42</v>
      </c>
      <c r="R4" s="14">
        <v>43.86</v>
      </c>
      <c r="S4" s="14">
        <v>79.45</v>
      </c>
      <c r="T4" s="14">
        <v>67.5</v>
      </c>
      <c r="U4" s="14">
        <v>61.95</v>
      </c>
      <c r="V4" s="14">
        <v>60.24</v>
      </c>
      <c r="W4" s="14">
        <v>60.16</v>
      </c>
      <c r="X4" s="14">
        <v>60.11</v>
      </c>
    </row>
    <row r="5" spans="1:35" x14ac:dyDescent="0.25">
      <c r="A5" t="s">
        <v>364</v>
      </c>
      <c r="B5" s="26"/>
      <c r="C5" s="26"/>
      <c r="D5" s="26">
        <f>1/D6</f>
        <v>26.427061310782243</v>
      </c>
      <c r="E5" s="26">
        <f>1/E6</f>
        <v>26.375481352534681</v>
      </c>
      <c r="F5" s="26">
        <f t="shared" ref="F5:L5" si="0">+E5+E5*$B$7</f>
        <v>26.243603945772009</v>
      </c>
      <c r="G5" s="26">
        <f t="shared" si="0"/>
        <v>26.112385926043149</v>
      </c>
      <c r="H5" s="26">
        <f t="shared" si="0"/>
        <v>25.981823996412935</v>
      </c>
      <c r="I5" s="26">
        <f t="shared" si="0"/>
        <v>25.851914876430872</v>
      </c>
      <c r="J5" s="26">
        <f t="shared" si="0"/>
        <v>25.722655302048718</v>
      </c>
      <c r="K5" s="26">
        <f t="shared" si="0"/>
        <v>25.594042025538474</v>
      </c>
      <c r="L5" s="26">
        <f t="shared" si="0"/>
        <v>25.466071815410782</v>
      </c>
      <c r="P5" t="s">
        <v>256</v>
      </c>
      <c r="Q5" s="14">
        <v>63.52</v>
      </c>
      <c r="R5" s="14">
        <v>44.7</v>
      </c>
      <c r="S5" s="14">
        <v>81.5</v>
      </c>
      <c r="T5" s="14">
        <v>67.5</v>
      </c>
      <c r="U5" s="14">
        <v>61.95</v>
      </c>
      <c r="V5" s="14">
        <v>60.24</v>
      </c>
      <c r="W5" s="14">
        <v>60.16</v>
      </c>
      <c r="X5" s="14">
        <v>60.11</v>
      </c>
    </row>
    <row r="6" spans="1:35" x14ac:dyDescent="0.25">
      <c r="A6" t="s">
        <v>373</v>
      </c>
      <c r="D6">
        <v>3.7839999999999999E-2</v>
      </c>
      <c r="E6">
        <v>3.7914000000000003E-2</v>
      </c>
      <c r="N6" s="25"/>
      <c r="P6" t="s">
        <v>257</v>
      </c>
      <c r="Q6" s="14">
        <v>57.98</v>
      </c>
      <c r="R6" s="14">
        <v>44.74</v>
      </c>
      <c r="S6" s="14">
        <v>75.25</v>
      </c>
      <c r="T6" s="14">
        <v>64.97</v>
      </c>
      <c r="U6" s="14">
        <v>61.43</v>
      </c>
      <c r="V6" s="14">
        <v>60.24</v>
      </c>
      <c r="W6" s="14">
        <v>60.16</v>
      </c>
      <c r="X6" s="14">
        <v>60.11</v>
      </c>
    </row>
    <row r="7" spans="1:35" x14ac:dyDescent="0.25">
      <c r="A7" t="s">
        <v>416</v>
      </c>
      <c r="B7" s="25">
        <v>-5.0000000000000001E-3</v>
      </c>
      <c r="N7" s="25"/>
      <c r="P7" t="s">
        <v>258</v>
      </c>
      <c r="Q7" s="14">
        <v>59.9</v>
      </c>
      <c r="R7" s="14">
        <v>45.56</v>
      </c>
      <c r="S7" s="14">
        <v>75.5</v>
      </c>
      <c r="T7" s="14">
        <v>64.97</v>
      </c>
      <c r="U7" s="14">
        <v>61.43</v>
      </c>
      <c r="V7" s="14">
        <v>60.24</v>
      </c>
      <c r="W7" s="14">
        <v>60.16</v>
      </c>
      <c r="X7" s="14">
        <v>60.11</v>
      </c>
    </row>
    <row r="8" spans="1:35" x14ac:dyDescent="0.25">
      <c r="N8" s="25"/>
      <c r="P8" t="s">
        <v>259</v>
      </c>
      <c r="Q8" s="14">
        <v>57.88</v>
      </c>
      <c r="R8" s="14">
        <v>48.78</v>
      </c>
      <c r="S8" s="14">
        <v>72.650000000000006</v>
      </c>
      <c r="T8" s="14">
        <v>64.97</v>
      </c>
      <c r="U8" s="14">
        <v>61.43</v>
      </c>
      <c r="V8" s="14">
        <v>60.24</v>
      </c>
      <c r="W8" s="14">
        <v>60.16</v>
      </c>
      <c r="X8" s="14">
        <v>60.11</v>
      </c>
    </row>
    <row r="9" spans="1:35" x14ac:dyDescent="0.25">
      <c r="A9" s="1" t="s">
        <v>107</v>
      </c>
      <c r="J9" t="s">
        <v>222</v>
      </c>
      <c r="L9" s="25">
        <v>25.12</v>
      </c>
      <c r="M9" t="s">
        <v>188</v>
      </c>
      <c r="P9" t="s">
        <v>260</v>
      </c>
      <c r="Q9" s="14">
        <v>59.88</v>
      </c>
      <c r="R9" s="14">
        <v>53.29</v>
      </c>
      <c r="S9" s="14">
        <v>72.099999999999994</v>
      </c>
      <c r="T9" s="14">
        <v>63.6</v>
      </c>
      <c r="U9" s="14">
        <v>61.43</v>
      </c>
      <c r="V9" s="14">
        <v>60.24</v>
      </c>
      <c r="W9" s="14">
        <v>60.16</v>
      </c>
      <c r="X9" s="14">
        <v>60.11</v>
      </c>
    </row>
    <row r="10" spans="1:35" x14ac:dyDescent="0.25">
      <c r="A10" t="s">
        <v>244</v>
      </c>
      <c r="J10" t="s">
        <v>290</v>
      </c>
      <c r="L10" s="25">
        <f>+Parmetry!J43</f>
        <v>15.114869340898286</v>
      </c>
      <c r="M10" t="s">
        <v>188</v>
      </c>
      <c r="P10" t="s">
        <v>261</v>
      </c>
      <c r="Q10" s="14">
        <v>56.47</v>
      </c>
      <c r="R10" s="14">
        <v>59.02</v>
      </c>
      <c r="S10" s="14">
        <v>71.900000000000006</v>
      </c>
      <c r="T10" s="14">
        <v>63.6</v>
      </c>
      <c r="U10" s="14">
        <v>61.43</v>
      </c>
      <c r="V10" s="14">
        <v>60.24</v>
      </c>
      <c r="W10" s="14">
        <v>60.16</v>
      </c>
      <c r="X10" s="14">
        <v>60.11</v>
      </c>
    </row>
    <row r="11" spans="1:35" x14ac:dyDescent="0.25">
      <c r="A11" t="s">
        <v>245</v>
      </c>
      <c r="P11" t="s">
        <v>262</v>
      </c>
      <c r="Q11" s="14">
        <v>54.87</v>
      </c>
      <c r="R11" s="14">
        <v>61.51</v>
      </c>
      <c r="S11" s="14">
        <v>71.400000000000006</v>
      </c>
      <c r="T11" s="14">
        <v>63.6</v>
      </c>
      <c r="U11" s="14">
        <v>61.43</v>
      </c>
      <c r="V11" s="14">
        <v>60.24</v>
      </c>
      <c r="W11" s="14">
        <v>60.16</v>
      </c>
      <c r="X11" s="14">
        <v>60.11</v>
      </c>
    </row>
    <row r="12" spans="1:35" x14ac:dyDescent="0.25">
      <c r="E12" t="s">
        <v>289</v>
      </c>
      <c r="P12" t="s">
        <v>263</v>
      </c>
      <c r="Q12" s="14">
        <v>51.32</v>
      </c>
      <c r="R12" s="14">
        <v>72.510000000000005</v>
      </c>
      <c r="S12" s="14">
        <v>70.989999999999995</v>
      </c>
      <c r="T12" s="14">
        <v>62.34</v>
      </c>
      <c r="U12" s="14">
        <v>61.43</v>
      </c>
      <c r="V12" s="14">
        <v>60.24</v>
      </c>
      <c r="W12" s="14">
        <v>60.16</v>
      </c>
      <c r="X12" s="14">
        <v>60.11</v>
      </c>
    </row>
    <row r="13" spans="1:35" x14ac:dyDescent="0.25">
      <c r="B13">
        <v>2015</v>
      </c>
      <c r="C13">
        <v>2016</v>
      </c>
      <c r="D13">
        <v>2017</v>
      </c>
      <c r="E13">
        <v>2018</v>
      </c>
      <c r="F13">
        <v>2019</v>
      </c>
      <c r="G13">
        <v>2020</v>
      </c>
      <c r="H13">
        <v>2021</v>
      </c>
      <c r="I13">
        <v>2022</v>
      </c>
      <c r="J13">
        <v>2023</v>
      </c>
      <c r="K13">
        <v>2024</v>
      </c>
      <c r="L13">
        <v>2025</v>
      </c>
      <c r="M13" t="s">
        <v>401</v>
      </c>
      <c r="P13" t="s">
        <v>264</v>
      </c>
      <c r="Q13" s="14">
        <v>52</v>
      </c>
      <c r="R13" s="14">
        <v>86.89</v>
      </c>
      <c r="S13" s="14">
        <v>70.56</v>
      </c>
      <c r="T13" s="14">
        <v>62.34</v>
      </c>
      <c r="U13" s="14">
        <v>61.43</v>
      </c>
      <c r="V13" s="14">
        <v>60.24</v>
      </c>
      <c r="W13" s="14">
        <v>60.16</v>
      </c>
      <c r="X13" s="14">
        <v>60.11</v>
      </c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x14ac:dyDescent="0.25">
      <c r="A14" t="s">
        <v>247</v>
      </c>
      <c r="B14" s="26">
        <v>65</v>
      </c>
      <c r="C14" s="26">
        <f t="shared" ref="C14:I14" si="1">+R15</f>
        <v>57.742500000000007</v>
      </c>
      <c r="D14" s="26">
        <f t="shared" si="1"/>
        <v>74.040833333333339</v>
      </c>
      <c r="E14" s="26">
        <f t="shared" si="1"/>
        <v>64.60250000000002</v>
      </c>
      <c r="F14" s="26">
        <f t="shared" si="1"/>
        <v>61.559999999999995</v>
      </c>
      <c r="G14" s="26">
        <f t="shared" si="1"/>
        <v>60.24</v>
      </c>
      <c r="H14" s="26">
        <f t="shared" si="1"/>
        <v>60.159999999999975</v>
      </c>
      <c r="I14" s="26">
        <f t="shared" si="1"/>
        <v>60.110000000000007</v>
      </c>
      <c r="J14" s="26">
        <f>+I14+I14*$M$14</f>
        <v>61.312200000000004</v>
      </c>
      <c r="K14" s="26">
        <f>+J14+J14*$M$14</f>
        <v>62.538444000000005</v>
      </c>
      <c r="L14" s="26">
        <f>+K14+K14*$M$14</f>
        <v>63.789212880000008</v>
      </c>
      <c r="M14">
        <v>0.02</v>
      </c>
      <c r="P14" s="22" t="s">
        <v>265</v>
      </c>
      <c r="Q14" s="14">
        <v>49.53</v>
      </c>
      <c r="R14" s="14">
        <v>83.82</v>
      </c>
      <c r="S14" s="14">
        <v>70.010000000000005</v>
      </c>
      <c r="T14" s="14">
        <v>62.34</v>
      </c>
      <c r="U14" s="14">
        <v>61.43</v>
      </c>
      <c r="V14" s="14">
        <v>60.24</v>
      </c>
      <c r="W14" s="14">
        <v>60.16</v>
      </c>
      <c r="X14" s="14">
        <v>60.11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x14ac:dyDescent="0.25">
      <c r="A15" t="s">
        <v>291</v>
      </c>
      <c r="B15" s="26">
        <f t="shared" ref="B15:L15" si="2">+(0.8*B14/$L$9)*B3</f>
        <v>50.923566878980886</v>
      </c>
      <c r="C15" s="26">
        <f t="shared" si="2"/>
        <v>44.928814012738862</v>
      </c>
      <c r="D15" s="26">
        <f t="shared" si="2"/>
        <v>55.273987874299635</v>
      </c>
      <c r="E15" s="26">
        <f t="shared" si="2"/>
        <v>47.640542272929338</v>
      </c>
      <c r="F15" s="26">
        <f t="shared" si="2"/>
        <v>46.816968152866238</v>
      </c>
      <c r="G15" s="26">
        <f t="shared" si="2"/>
        <v>45.813095541401275</v>
      </c>
      <c r="H15" s="26">
        <f t="shared" si="2"/>
        <v>45.75225477707005</v>
      </c>
      <c r="I15" s="26">
        <f t="shared" si="2"/>
        <v>45.714229299363062</v>
      </c>
      <c r="J15" s="26">
        <f t="shared" si="2"/>
        <v>46.628513885350316</v>
      </c>
      <c r="K15" s="26">
        <f t="shared" si="2"/>
        <v>47.56108416305733</v>
      </c>
      <c r="L15" s="26">
        <f t="shared" si="2"/>
        <v>48.512305846318476</v>
      </c>
      <c r="P15" s="22" t="s">
        <v>288</v>
      </c>
      <c r="Q15" s="14">
        <f t="shared" ref="Q15:X15" si="3">+AVERAGE(Q3:Q14)</f>
        <v>57.165833333333332</v>
      </c>
      <c r="R15" s="14">
        <f t="shared" si="3"/>
        <v>57.742500000000007</v>
      </c>
      <c r="S15" s="14">
        <f t="shared" si="3"/>
        <v>74.040833333333339</v>
      </c>
      <c r="T15" s="14">
        <f t="shared" si="3"/>
        <v>64.60250000000002</v>
      </c>
      <c r="U15" s="14">
        <f t="shared" si="3"/>
        <v>61.559999999999995</v>
      </c>
      <c r="V15" s="14">
        <f t="shared" si="3"/>
        <v>60.24</v>
      </c>
      <c r="W15" s="14">
        <f t="shared" si="3"/>
        <v>60.159999999999975</v>
      </c>
      <c r="X15" s="14">
        <f t="shared" si="3"/>
        <v>60.110000000000007</v>
      </c>
    </row>
    <row r="16" spans="1:35" x14ac:dyDescent="0.25">
      <c r="A16" t="s">
        <v>299</v>
      </c>
      <c r="B16" s="26">
        <f t="shared" ref="B16:L16" si="4">+B15*$L$10</f>
        <v>769.70305974829159</v>
      </c>
      <c r="C16" s="26">
        <f t="shared" si="4"/>
        <v>679.09315344406787</v>
      </c>
      <c r="D16" s="26">
        <f t="shared" si="4"/>
        <v>835.45910467043518</v>
      </c>
      <c r="E16" s="26">
        <f t="shared" si="4"/>
        <v>720.08057178486843</v>
      </c>
      <c r="F16" s="26">
        <f t="shared" si="4"/>
        <v>707.63235656756933</v>
      </c>
      <c r="G16" s="26">
        <f t="shared" si="4"/>
        <v>692.45895321037005</v>
      </c>
      <c r="H16" s="26">
        <f t="shared" si="4"/>
        <v>691.5393530069033</v>
      </c>
      <c r="I16" s="26">
        <f t="shared" si="4"/>
        <v>690.96460287973684</v>
      </c>
      <c r="J16" s="26">
        <f t="shared" si="4"/>
        <v>704.78389493733152</v>
      </c>
      <c r="K16" s="26">
        <f t="shared" si="4"/>
        <v>718.8795728360783</v>
      </c>
      <c r="L16" s="26">
        <f t="shared" si="4"/>
        <v>733.25716429279987</v>
      </c>
      <c r="P16" t="s">
        <v>351</v>
      </c>
      <c r="R16">
        <f>+R15/Q15-1</f>
        <v>1.008761060656882E-2</v>
      </c>
      <c r="S16">
        <f t="shared" ref="S16:X16" si="5">+S15/R15-1</f>
        <v>0.28225887921952331</v>
      </c>
      <c r="T16">
        <f t="shared" si="5"/>
        <v>-0.12747470427354257</v>
      </c>
      <c r="U16">
        <f t="shared" si="5"/>
        <v>-4.7095700630780946E-2</v>
      </c>
      <c r="V16">
        <f t="shared" si="5"/>
        <v>-2.1442495126705596E-2</v>
      </c>
      <c r="W16">
        <f t="shared" si="5"/>
        <v>-1.3280212483404163E-3</v>
      </c>
      <c r="X16">
        <f t="shared" si="5"/>
        <v>-8.3111702127602882E-4</v>
      </c>
    </row>
    <row r="17" spans="1:36" x14ac:dyDescent="0.25">
      <c r="A17" t="s">
        <v>292</v>
      </c>
      <c r="B17" s="3">
        <f>+Parmetry!I43</f>
        <v>1939404</v>
      </c>
      <c r="C17" s="3"/>
      <c r="D17" s="3">
        <f>+D19*$L$10</f>
        <v>2066988.6121065223</v>
      </c>
      <c r="E17" s="3">
        <f t="shared" ref="E17:L17" si="6">+E19*$L$10</f>
        <v>2066988.6121065223</v>
      </c>
      <c r="F17" s="3">
        <f t="shared" si="6"/>
        <v>2066988.6121065223</v>
      </c>
      <c r="G17" s="3">
        <f t="shared" si="6"/>
        <v>2066988.6121065223</v>
      </c>
      <c r="H17" s="3">
        <f t="shared" si="6"/>
        <v>2066988.6121065223</v>
      </c>
      <c r="I17" s="3">
        <f t="shared" si="6"/>
        <v>2066988.6121065223</v>
      </c>
      <c r="J17" s="3">
        <f t="shared" si="6"/>
        <v>2066988.6121065223</v>
      </c>
      <c r="K17" s="3">
        <f t="shared" si="6"/>
        <v>2066988.6121065223</v>
      </c>
      <c r="L17" s="3">
        <f t="shared" si="6"/>
        <v>2066988.6121065223</v>
      </c>
      <c r="P17" t="s">
        <v>389</v>
      </c>
      <c r="T17">
        <f>-T16</f>
        <v>0.12747470427354257</v>
      </c>
      <c r="U17">
        <f t="shared" ref="U17:X17" si="7">-U16</f>
        <v>4.7095700630780946E-2</v>
      </c>
      <c r="V17">
        <f t="shared" si="7"/>
        <v>2.1442495126705596E-2</v>
      </c>
      <c r="W17">
        <f t="shared" si="7"/>
        <v>1.3280212483404163E-3</v>
      </c>
      <c r="X17">
        <f t="shared" si="7"/>
        <v>8.3111702127602882E-4</v>
      </c>
    </row>
    <row r="18" spans="1:36" x14ac:dyDescent="0.25">
      <c r="A18" t="s">
        <v>293</v>
      </c>
      <c r="B18" s="3">
        <f>+B15*B17/1000</f>
        <v>98761.369299363054</v>
      </c>
      <c r="C18" s="3"/>
      <c r="D18" s="3">
        <f t="shared" ref="D18:L18" si="8">+D15*D17/1000</f>
        <v>114250.70348189135</v>
      </c>
      <c r="E18" s="3">
        <f>+E15*E17/1000</f>
        <v>98472.458352724308</v>
      </c>
      <c r="F18" s="3">
        <f t="shared" si="8"/>
        <v>96770.140025328234</v>
      </c>
      <c r="G18" s="3">
        <f t="shared" si="8"/>
        <v>94695.146769424522</v>
      </c>
      <c r="H18" s="3">
        <f t="shared" si="8"/>
        <v>94569.389602400028</v>
      </c>
      <c r="I18" s="3">
        <f t="shared" si="8"/>
        <v>94490.791373009764</v>
      </c>
      <c r="J18" s="3">
        <f t="shared" si="8"/>
        <v>96380.607200469953</v>
      </c>
      <c r="K18" s="3">
        <f t="shared" si="8"/>
        <v>98308.219344479367</v>
      </c>
      <c r="L18" s="3">
        <f t="shared" si="8"/>
        <v>100274.38373136896</v>
      </c>
      <c r="P18" t="s">
        <v>390</v>
      </c>
      <c r="Q18">
        <f>+GEOMEAN(T17:X17)</f>
        <v>1.0727772602867822E-2</v>
      </c>
    </row>
    <row r="19" spans="1:36" x14ac:dyDescent="0.25">
      <c r="A19" t="s">
        <v>316</v>
      </c>
      <c r="B19">
        <f>+B17/$L$10</f>
        <v>128311</v>
      </c>
      <c r="D19" s="3">
        <f>+Parmetry!$C$43</f>
        <v>136752</v>
      </c>
      <c r="E19" s="3">
        <f>+Parmetry!$C$43</f>
        <v>136752</v>
      </c>
      <c r="F19" s="3">
        <f>+Parmetry!$C$43</f>
        <v>136752</v>
      </c>
      <c r="G19" s="3">
        <f>+Parmetry!$C$43</f>
        <v>136752</v>
      </c>
      <c r="H19" s="3">
        <f>+Parmetry!$C$43</f>
        <v>136752</v>
      </c>
      <c r="I19" s="3">
        <f>+Parmetry!$C$43</f>
        <v>136752</v>
      </c>
      <c r="J19" s="3">
        <f>+Parmetry!$C$43</f>
        <v>136752</v>
      </c>
      <c r="K19" s="3">
        <f>+Parmetry!$C$43</f>
        <v>136752</v>
      </c>
      <c r="L19" s="3">
        <f>+Parmetry!$C$43</f>
        <v>136752</v>
      </c>
    </row>
    <row r="20" spans="1:36" x14ac:dyDescent="0.25">
      <c r="A20" t="s">
        <v>410</v>
      </c>
      <c r="B20" s="3"/>
      <c r="D20" s="3">
        <f>+D19*D16/1000</f>
        <v>114250.70348189135</v>
      </c>
      <c r="E20" s="3">
        <f t="shared" ref="E20:L20" si="9">+E19*E16/1000</f>
        <v>98472.458352724323</v>
      </c>
      <c r="F20" s="3">
        <f t="shared" si="9"/>
        <v>96770.140025328234</v>
      </c>
      <c r="G20" s="3">
        <f t="shared" si="9"/>
        <v>94695.146769424522</v>
      </c>
      <c r="H20" s="3">
        <f t="shared" si="9"/>
        <v>94569.389602400028</v>
      </c>
      <c r="I20" s="3">
        <f t="shared" si="9"/>
        <v>94490.791373009764</v>
      </c>
      <c r="J20" s="3">
        <f t="shared" si="9"/>
        <v>96380.607200469953</v>
      </c>
      <c r="K20" s="3">
        <f t="shared" si="9"/>
        <v>98308.219344479381</v>
      </c>
      <c r="L20" s="3">
        <f t="shared" si="9"/>
        <v>100274.38373136897</v>
      </c>
    </row>
    <row r="21" spans="1:36" x14ac:dyDescent="0.25">
      <c r="B21" s="3"/>
    </row>
    <row r="22" spans="1:36" x14ac:dyDescent="0.25">
      <c r="A22" t="s">
        <v>300</v>
      </c>
      <c r="B22" s="3">
        <f>+Rozbor!D14-'Vývoj cen alt. scn.'!B30-'Vývoj cen alt. scn.'!B35-'Vývoj cen alt. scn.'!B41</f>
        <v>131650.5537447251</v>
      </c>
      <c r="C22" s="3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x14ac:dyDescent="0.25">
      <c r="A23" t="s">
        <v>305</v>
      </c>
      <c r="B23" s="3">
        <f>+B22-B18</f>
        <v>32889.184445362043</v>
      </c>
      <c r="C23" s="3"/>
      <c r="D23" s="3">
        <f>+D24*D19/1000</f>
        <v>38893.92728863981</v>
      </c>
      <c r="E23" s="3">
        <f t="shared" ref="E23:H23" si="10">+E24*E19/1000</f>
        <v>39671.805834412611</v>
      </c>
      <c r="F23" s="3">
        <f t="shared" si="10"/>
        <v>40465.241951100863</v>
      </c>
      <c r="G23" s="3">
        <f t="shared" si="10"/>
        <v>41274.546790122884</v>
      </c>
      <c r="H23" s="3">
        <f t="shared" si="10"/>
        <v>42100.037725925344</v>
      </c>
      <c r="I23" s="3">
        <f>+I24*I19/1000</f>
        <v>42942.038480443844</v>
      </c>
      <c r="J23" s="3">
        <f t="shared" ref="J23:L23" si="11">+J24*J19/1000</f>
        <v>43800.87925005272</v>
      </c>
      <c r="K23" s="3">
        <f t="shared" si="11"/>
        <v>44676.896835053776</v>
      </c>
      <c r="L23" s="3">
        <f t="shared" si="11"/>
        <v>45570.434771754852</v>
      </c>
      <c r="M23" t="s">
        <v>303</v>
      </c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x14ac:dyDescent="0.25">
      <c r="A24" t="s">
        <v>301</v>
      </c>
      <c r="B24" s="14">
        <f>+B23/Rozbor!B21*1000</f>
        <v>273.36805816061741</v>
      </c>
      <c r="C24" s="14">
        <f t="shared" ref="C24:L24" si="12">+C25*$M$24</f>
        <v>278.83541932382974</v>
      </c>
      <c r="D24" s="14">
        <f t="shared" si="12"/>
        <v>284.41212771030632</v>
      </c>
      <c r="E24" s="14">
        <f t="shared" si="12"/>
        <v>290.10037026451249</v>
      </c>
      <c r="F24" s="14">
        <f t="shared" si="12"/>
        <v>295.90237766980272</v>
      </c>
      <c r="G24" s="14">
        <f t="shared" si="12"/>
        <v>301.82042522319881</v>
      </c>
      <c r="H24" s="14">
        <f t="shared" si="12"/>
        <v>307.85683372766277</v>
      </c>
      <c r="I24" s="14">
        <f t="shared" si="12"/>
        <v>314.01397040221599</v>
      </c>
      <c r="J24" s="14">
        <f t="shared" si="12"/>
        <v>320.29424981026034</v>
      </c>
      <c r="K24" s="14">
        <f t="shared" si="12"/>
        <v>326.70013480646554</v>
      </c>
      <c r="L24" s="14">
        <f t="shared" si="12"/>
        <v>333.23413750259488</v>
      </c>
      <c r="M24">
        <v>200</v>
      </c>
      <c r="N24" t="s">
        <v>304</v>
      </c>
    </row>
    <row r="25" spans="1:36" x14ac:dyDescent="0.25">
      <c r="A25" t="s">
        <v>302</v>
      </c>
      <c r="B25" s="14">
        <f>+B24/M24</f>
        <v>1.366840290803087</v>
      </c>
      <c r="C25" s="14">
        <f t="shared" ref="C25:L25" si="13">+B25*(1+$P$25)</f>
        <v>1.3941770966191487</v>
      </c>
      <c r="D25" s="14">
        <f t="shared" si="13"/>
        <v>1.4220606385515318</v>
      </c>
      <c r="E25" s="14">
        <f t="shared" si="13"/>
        <v>1.4505018513225625</v>
      </c>
      <c r="F25" s="14">
        <f t="shared" si="13"/>
        <v>1.4795118883490137</v>
      </c>
      <c r="G25" s="14">
        <f t="shared" si="13"/>
        <v>1.509102126115994</v>
      </c>
      <c r="H25" s="14">
        <f t="shared" si="13"/>
        <v>1.5392841686383139</v>
      </c>
      <c r="I25" s="14">
        <f t="shared" si="13"/>
        <v>1.5700698520110801</v>
      </c>
      <c r="J25" s="14">
        <f t="shared" si="13"/>
        <v>1.6014712490513017</v>
      </c>
      <c r="K25" s="14">
        <f t="shared" si="13"/>
        <v>1.6335006740323277</v>
      </c>
      <c r="L25" s="14">
        <f t="shared" si="13"/>
        <v>1.6661706875129743</v>
      </c>
      <c r="M25" t="s">
        <v>315</v>
      </c>
      <c r="P25">
        <v>0.02</v>
      </c>
      <c r="Q25" t="s">
        <v>336</v>
      </c>
    </row>
    <row r="26" spans="1:36" x14ac:dyDescent="0.25">
      <c r="P26" s="22"/>
    </row>
    <row r="27" spans="1:36" x14ac:dyDescent="0.25">
      <c r="A27" s="1" t="s">
        <v>110</v>
      </c>
      <c r="B27">
        <v>2015</v>
      </c>
      <c r="C27">
        <v>2016</v>
      </c>
      <c r="D27">
        <v>2017</v>
      </c>
      <c r="E27">
        <v>2018</v>
      </c>
      <c r="F27">
        <v>2019</v>
      </c>
      <c r="G27">
        <v>2020</v>
      </c>
      <c r="H27">
        <v>2021</v>
      </c>
      <c r="I27">
        <v>2022</v>
      </c>
      <c r="J27">
        <v>2023</v>
      </c>
      <c r="K27">
        <v>2024</v>
      </c>
      <c r="L27">
        <v>2025</v>
      </c>
      <c r="M27" t="s">
        <v>294</v>
      </c>
      <c r="N27">
        <v>0.02</v>
      </c>
    </row>
    <row r="28" spans="1:36" x14ac:dyDescent="0.25">
      <c r="A28" t="s">
        <v>267</v>
      </c>
      <c r="B28" s="3">
        <v>4800</v>
      </c>
      <c r="C28" s="3">
        <f t="shared" ref="C28:L28" si="14">+B28*(1+$N$27)</f>
        <v>4896</v>
      </c>
      <c r="D28" s="3">
        <f t="shared" si="14"/>
        <v>4993.92</v>
      </c>
      <c r="E28" s="3">
        <f t="shared" si="14"/>
        <v>5093.7984000000006</v>
      </c>
      <c r="F28" s="3">
        <f t="shared" si="14"/>
        <v>5195.6743680000009</v>
      </c>
      <c r="G28" s="3">
        <f t="shared" si="14"/>
        <v>5299.5878553600014</v>
      </c>
      <c r="H28" s="3">
        <f t="shared" si="14"/>
        <v>5405.5796124672015</v>
      </c>
      <c r="I28" s="3">
        <f t="shared" si="14"/>
        <v>5513.6912047165461</v>
      </c>
      <c r="J28" s="3">
        <f t="shared" si="14"/>
        <v>5623.9650288108769</v>
      </c>
      <c r="K28" s="3">
        <f t="shared" si="14"/>
        <v>5736.4443293870945</v>
      </c>
      <c r="L28" s="3">
        <f t="shared" si="14"/>
        <v>5851.1732159748362</v>
      </c>
    </row>
    <row r="29" spans="1:36" x14ac:dyDescent="0.25">
      <c r="A29" t="s">
        <v>268</v>
      </c>
      <c r="B29" s="3">
        <v>1679</v>
      </c>
      <c r="C29" s="3"/>
      <c r="D29" s="3">
        <f>+Parmetry!C45</f>
        <v>1665</v>
      </c>
      <c r="E29" s="3">
        <f>+D29</f>
        <v>1665</v>
      </c>
      <c r="F29" s="3">
        <f t="shared" ref="F29:L29" si="15">+E29</f>
        <v>1665</v>
      </c>
      <c r="G29" s="3">
        <f t="shared" si="15"/>
        <v>1665</v>
      </c>
      <c r="H29" s="3">
        <f t="shared" si="15"/>
        <v>1665</v>
      </c>
      <c r="I29" s="3">
        <f t="shared" si="15"/>
        <v>1665</v>
      </c>
      <c r="J29" s="3">
        <f t="shared" si="15"/>
        <v>1665</v>
      </c>
      <c r="K29" s="3">
        <f t="shared" si="15"/>
        <v>1665</v>
      </c>
      <c r="L29" s="3">
        <f t="shared" si="15"/>
        <v>1665</v>
      </c>
    </row>
    <row r="30" spans="1:36" x14ac:dyDescent="0.25">
      <c r="A30" t="s">
        <v>269</v>
      </c>
      <c r="B30" s="3">
        <f>+B29*B28/1000</f>
        <v>8059.2</v>
      </c>
      <c r="C30" s="3"/>
      <c r="D30" s="3">
        <f t="shared" ref="D30:L30" si="16">+D29*D28/1000</f>
        <v>8314.8768</v>
      </c>
      <c r="E30" s="3">
        <f t="shared" si="16"/>
        <v>8481.1743360000019</v>
      </c>
      <c r="F30" s="3">
        <f t="shared" si="16"/>
        <v>8650.7978227200001</v>
      </c>
      <c r="G30" s="3">
        <f t="shared" si="16"/>
        <v>8823.813779174403</v>
      </c>
      <c r="H30" s="3">
        <f t="shared" si="16"/>
        <v>9000.290054757892</v>
      </c>
      <c r="I30" s="3">
        <f t="shared" si="16"/>
        <v>9180.2958558530499</v>
      </c>
      <c r="J30" s="3">
        <f t="shared" si="16"/>
        <v>9363.90177297011</v>
      </c>
      <c r="K30" s="3">
        <f t="shared" si="16"/>
        <v>9551.1798084295133</v>
      </c>
      <c r="L30" s="3">
        <f t="shared" si="16"/>
        <v>9742.2034045981018</v>
      </c>
    </row>
    <row r="31" spans="1:36" x14ac:dyDescent="0.25">
      <c r="C31" s="3"/>
      <c r="T31" t="s">
        <v>277</v>
      </c>
    </row>
    <row r="32" spans="1:36" x14ac:dyDescent="0.25">
      <c r="A32" s="1" t="s">
        <v>270</v>
      </c>
      <c r="B32">
        <v>2015</v>
      </c>
      <c r="C32">
        <v>2016</v>
      </c>
      <c r="D32">
        <v>2017</v>
      </c>
      <c r="E32">
        <v>2018</v>
      </c>
      <c r="F32">
        <v>2019</v>
      </c>
      <c r="G32">
        <v>2020</v>
      </c>
      <c r="H32">
        <v>2021</v>
      </c>
      <c r="I32">
        <v>2022</v>
      </c>
      <c r="J32">
        <v>2023</v>
      </c>
      <c r="K32">
        <v>2024</v>
      </c>
      <c r="L32">
        <v>2025</v>
      </c>
      <c r="O32" t="s">
        <v>271</v>
      </c>
      <c r="Q32">
        <v>2015</v>
      </c>
      <c r="R32">
        <v>1.45</v>
      </c>
      <c r="S32" t="s">
        <v>272</v>
      </c>
      <c r="T32">
        <v>990</v>
      </c>
      <c r="U32" t="s">
        <v>273</v>
      </c>
      <c r="V32">
        <v>3.7854000000000001</v>
      </c>
      <c r="W32" t="s">
        <v>274</v>
      </c>
    </row>
    <row r="33" spans="1:19" x14ac:dyDescent="0.25">
      <c r="A33" t="s">
        <v>267</v>
      </c>
      <c r="B33" s="3">
        <f>+R33/V32*1000/T32*1000</f>
        <v>9518.2287288801799</v>
      </c>
      <c r="C33" s="3">
        <f t="shared" ref="C33:L33" si="17">+B33*(1+$R$35)</f>
        <v>9708.5933034577829</v>
      </c>
      <c r="D33" s="3">
        <f t="shared" si="17"/>
        <v>9902.7651695269378</v>
      </c>
      <c r="E33" s="3">
        <f t="shared" si="17"/>
        <v>10100.820472917476</v>
      </c>
      <c r="F33" s="3">
        <f t="shared" si="17"/>
        <v>10302.836882375825</v>
      </c>
      <c r="G33" s="3">
        <f t="shared" si="17"/>
        <v>10508.893620023342</v>
      </c>
      <c r="H33" s="3">
        <f t="shared" si="17"/>
        <v>10719.071492423809</v>
      </c>
      <c r="I33" s="3">
        <f t="shared" si="17"/>
        <v>10933.452922272285</v>
      </c>
      <c r="J33" s="3">
        <f t="shared" si="17"/>
        <v>11152.121980717731</v>
      </c>
      <c r="K33" s="3">
        <f t="shared" si="17"/>
        <v>11375.164420332087</v>
      </c>
      <c r="L33" s="3">
        <f t="shared" si="17"/>
        <v>11602.667708738729</v>
      </c>
      <c r="R33">
        <f>+R32*B3</f>
        <v>35.67</v>
      </c>
      <c r="S33" t="s">
        <v>275</v>
      </c>
    </row>
    <row r="34" spans="1:19" x14ac:dyDescent="0.25">
      <c r="A34" t="s">
        <v>268</v>
      </c>
      <c r="B34">
        <v>423</v>
      </c>
      <c r="D34" s="3">
        <f>+Parmetry!$C$44</f>
        <v>667</v>
      </c>
      <c r="E34" s="3">
        <f>+Parmetry!$C$44</f>
        <v>667</v>
      </c>
      <c r="F34" s="3">
        <f>+Parmetry!$C$44</f>
        <v>667</v>
      </c>
      <c r="G34" s="3">
        <f>+Parmetry!$C$44</f>
        <v>667</v>
      </c>
      <c r="H34" s="3">
        <f>+Parmetry!$C$44</f>
        <v>667</v>
      </c>
      <c r="I34" s="3">
        <f>+Parmetry!$C$44</f>
        <v>667</v>
      </c>
      <c r="J34" s="3">
        <f>+Parmetry!$C$44</f>
        <v>667</v>
      </c>
      <c r="K34" s="3">
        <f>+Parmetry!$C$44</f>
        <v>667</v>
      </c>
      <c r="L34" s="3">
        <f>+Parmetry!$C$44</f>
        <v>667</v>
      </c>
    </row>
    <row r="35" spans="1:19" x14ac:dyDescent="0.25">
      <c r="A35" t="s">
        <v>276</v>
      </c>
      <c r="B35" s="3">
        <f>+B33*B34/1000</f>
        <v>4026.2107523163163</v>
      </c>
      <c r="C35" s="3"/>
      <c r="D35" s="3">
        <f t="shared" ref="D35:L35" si="18">+D33*D34/1000</f>
        <v>6605.1443680744678</v>
      </c>
      <c r="E35" s="3">
        <f t="shared" si="18"/>
        <v>6737.2472554359565</v>
      </c>
      <c r="F35" s="3">
        <f t="shared" si="18"/>
        <v>6871.9922005446751</v>
      </c>
      <c r="G35" s="3">
        <f t="shared" si="18"/>
        <v>7009.4320445555695</v>
      </c>
      <c r="H35" s="3">
        <f t="shared" si="18"/>
        <v>7149.6206854466809</v>
      </c>
      <c r="I35" s="3">
        <f t="shared" si="18"/>
        <v>7292.6130991556138</v>
      </c>
      <c r="J35" s="3">
        <f t="shared" si="18"/>
        <v>7438.4653611387266</v>
      </c>
      <c r="K35" s="3">
        <f t="shared" si="18"/>
        <v>7587.2346683615015</v>
      </c>
      <c r="L35" s="3">
        <f t="shared" si="18"/>
        <v>7738.9793617287323</v>
      </c>
      <c r="O35" t="s">
        <v>318</v>
      </c>
      <c r="R35">
        <v>0.02</v>
      </c>
    </row>
    <row r="37" spans="1:19" x14ac:dyDescent="0.25">
      <c r="A37" s="1" t="s">
        <v>111</v>
      </c>
      <c r="B37">
        <v>2015</v>
      </c>
      <c r="C37">
        <v>2016</v>
      </c>
      <c r="D37">
        <v>2017</v>
      </c>
      <c r="E37">
        <v>2018</v>
      </c>
      <c r="F37">
        <v>2019</v>
      </c>
      <c r="G37">
        <v>2020</v>
      </c>
      <c r="H37">
        <v>2021</v>
      </c>
      <c r="I37">
        <v>2022</v>
      </c>
      <c r="J37">
        <v>2023</v>
      </c>
      <c r="K37">
        <v>2024</v>
      </c>
      <c r="L37">
        <v>2025</v>
      </c>
      <c r="O37" t="s">
        <v>278</v>
      </c>
    </row>
    <row r="38" spans="1:19" x14ac:dyDescent="0.25">
      <c r="A38" t="s">
        <v>279</v>
      </c>
      <c r="B38" s="27">
        <v>24</v>
      </c>
      <c r="C38" s="27">
        <f t="shared" ref="C38:L38" si="19">+B38*(1+$R$35)</f>
        <v>24.48</v>
      </c>
      <c r="D38" s="27">
        <f t="shared" si="19"/>
        <v>24.9696</v>
      </c>
      <c r="E38" s="27">
        <f t="shared" si="19"/>
        <v>25.468992</v>
      </c>
      <c r="F38" s="27">
        <f t="shared" si="19"/>
        <v>25.978371840000001</v>
      </c>
      <c r="G38" s="27">
        <f t="shared" si="19"/>
        <v>26.4979392768</v>
      </c>
      <c r="H38" s="27">
        <f t="shared" si="19"/>
        <v>27.027898062336</v>
      </c>
      <c r="I38" s="27">
        <f t="shared" si="19"/>
        <v>27.568456023582719</v>
      </c>
      <c r="J38" s="27">
        <f t="shared" si="19"/>
        <v>28.119825144054374</v>
      </c>
      <c r="K38" s="27">
        <f t="shared" si="19"/>
        <v>28.682221646935464</v>
      </c>
      <c r="L38" s="27">
        <f t="shared" si="19"/>
        <v>29.255866079874174</v>
      </c>
      <c r="O38" t="s">
        <v>281</v>
      </c>
      <c r="P38">
        <v>845</v>
      </c>
      <c r="Q38" t="s">
        <v>273</v>
      </c>
    </row>
    <row r="39" spans="1:19" x14ac:dyDescent="0.25">
      <c r="A39" t="s">
        <v>268</v>
      </c>
      <c r="B39" s="3">
        <f>+Parmetry!G46</f>
        <v>15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9" x14ac:dyDescent="0.25">
      <c r="A40" t="s">
        <v>280</v>
      </c>
      <c r="B40" s="3">
        <f>+B39*1000/845*1000</f>
        <v>17751.479289940828</v>
      </c>
      <c r="C40" s="3"/>
      <c r="D40" s="3">
        <f t="shared" ref="D40:L40" si="20">+D39*1000/845*1000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 t="shared" si="20"/>
        <v>0</v>
      </c>
      <c r="J40" s="3">
        <f t="shared" si="20"/>
        <v>0</v>
      </c>
      <c r="K40" s="3">
        <f t="shared" si="20"/>
        <v>0</v>
      </c>
      <c r="L40" s="3">
        <f t="shared" si="20"/>
        <v>0</v>
      </c>
    </row>
    <row r="41" spans="1:19" x14ac:dyDescent="0.25">
      <c r="A41" t="s">
        <v>276</v>
      </c>
      <c r="B41" s="3">
        <f>+B38*B40/1000</f>
        <v>426.03550295857985</v>
      </c>
      <c r="C41" s="3"/>
      <c r="D41" s="3">
        <f t="shared" ref="D41:L41" si="21">+D38*D40/1000</f>
        <v>0</v>
      </c>
      <c r="E41" s="3">
        <f t="shared" si="21"/>
        <v>0</v>
      </c>
      <c r="F41" s="3">
        <f t="shared" si="21"/>
        <v>0</v>
      </c>
      <c r="G41" s="3">
        <f t="shared" si="21"/>
        <v>0</v>
      </c>
      <c r="H41" s="3">
        <f t="shared" si="21"/>
        <v>0</v>
      </c>
      <c r="I41" s="3">
        <f t="shared" si="21"/>
        <v>0</v>
      </c>
      <c r="J41" s="3">
        <f t="shared" si="21"/>
        <v>0</v>
      </c>
      <c r="K41" s="3">
        <f t="shared" si="21"/>
        <v>0</v>
      </c>
      <c r="L41" s="3">
        <f t="shared" si="21"/>
        <v>0</v>
      </c>
    </row>
    <row r="43" spans="1:19" x14ac:dyDescent="0.25">
      <c r="A43" s="1" t="s">
        <v>192</v>
      </c>
    </row>
    <row r="44" spans="1:19" x14ac:dyDescent="0.25">
      <c r="B44">
        <v>2014</v>
      </c>
      <c r="C44">
        <v>2015</v>
      </c>
      <c r="D44">
        <v>2016</v>
      </c>
      <c r="E44">
        <v>2017</v>
      </c>
      <c r="F44">
        <v>2018</v>
      </c>
      <c r="G44">
        <v>2019</v>
      </c>
      <c r="H44">
        <v>2020</v>
      </c>
      <c r="I44">
        <v>2021</v>
      </c>
      <c r="J44">
        <v>2022</v>
      </c>
      <c r="K44">
        <v>2023</v>
      </c>
      <c r="L44">
        <v>2024</v>
      </c>
      <c r="M44">
        <v>2025</v>
      </c>
    </row>
    <row r="45" spans="1:19" x14ac:dyDescent="0.25">
      <c r="A45" t="s">
        <v>248</v>
      </c>
      <c r="B45">
        <v>71446</v>
      </c>
      <c r="C45">
        <v>47000</v>
      </c>
      <c r="D45" s="3">
        <v>94000</v>
      </c>
      <c r="E45" s="3">
        <f>+E49-D51-E55</f>
        <v>71625</v>
      </c>
      <c r="F45" s="3">
        <f>+F49-F55</f>
        <v>144850</v>
      </c>
      <c r="G45" s="3">
        <f t="shared" ref="G45" si="22">+G49-G55</f>
        <v>158596</v>
      </c>
      <c r="H45" s="3">
        <f>+H49-H55</f>
        <v>171510</v>
      </c>
      <c r="I45" s="3">
        <f>I49-I55</f>
        <v>174392.76671214885</v>
      </c>
      <c r="J45" s="3">
        <f>J49-J55</f>
        <v>176875.63236483603</v>
      </c>
      <c r="K45" s="3">
        <f t="shared" ref="K45:M45" si="23">K49-K55</f>
        <v>179014.07174090971</v>
      </c>
      <c r="L45" s="3">
        <f t="shared" si="23"/>
        <v>180855.86409088777</v>
      </c>
      <c r="M45" s="3">
        <f t="shared" si="23"/>
        <v>182442.16066697586</v>
      </c>
    </row>
    <row r="46" spans="1:19" x14ac:dyDescent="0.25">
      <c r="A46" t="s">
        <v>391</v>
      </c>
      <c r="D46" s="3"/>
      <c r="E46" s="14">
        <v>4.5999999999999996</v>
      </c>
      <c r="F46" s="14">
        <f>+E46*(1+$Q$47)</f>
        <v>4.83</v>
      </c>
      <c r="G46" s="14">
        <f t="shared" ref="G46:M46" si="24">+F46*(1+$Q$47)</f>
        <v>5.0715000000000003</v>
      </c>
      <c r="H46" s="14">
        <f t="shared" si="24"/>
        <v>5.3250750000000009</v>
      </c>
      <c r="I46" s="14">
        <f t="shared" si="24"/>
        <v>5.5913287500000015</v>
      </c>
      <c r="J46" s="14">
        <f t="shared" si="24"/>
        <v>5.8708951875000022</v>
      </c>
      <c r="K46" s="14">
        <f t="shared" si="24"/>
        <v>6.1644399468750022</v>
      </c>
      <c r="L46" s="14">
        <f t="shared" si="24"/>
        <v>6.4726619442187525</v>
      </c>
      <c r="M46" s="14">
        <f t="shared" si="24"/>
        <v>6.7962950414296905</v>
      </c>
    </row>
    <row r="47" spans="1:19" x14ac:dyDescent="0.25">
      <c r="A47" t="s">
        <v>249</v>
      </c>
      <c r="C47">
        <v>217.88</v>
      </c>
      <c r="D47">
        <v>142.13999999999999</v>
      </c>
      <c r="E47">
        <f>E46*D5</f>
        <v>121.56448202959831</v>
      </c>
      <c r="F47">
        <f t="shared" ref="F47:M47" si="25">F46*E5</f>
        <v>127.39357493274251</v>
      </c>
      <c r="G47">
        <f t="shared" si="25"/>
        <v>133.09443741098275</v>
      </c>
      <c r="H47">
        <f t="shared" si="25"/>
        <v>139.05041348512424</v>
      </c>
      <c r="I47">
        <f t="shared" si="25"/>
        <v>145.27291948858357</v>
      </c>
      <c r="J47">
        <f t="shared" si="25"/>
        <v>151.77388263569773</v>
      </c>
      <c r="K47">
        <f t="shared" si="25"/>
        <v>158.56576388364519</v>
      </c>
      <c r="L47">
        <f t="shared" si="25"/>
        <v>165.66158181743833</v>
      </c>
      <c r="M47">
        <f t="shared" si="25"/>
        <v>173.07493760376869</v>
      </c>
      <c r="O47" t="s">
        <v>376</v>
      </c>
      <c r="Q47">
        <v>0.05</v>
      </c>
    </row>
    <row r="48" spans="1:19" x14ac:dyDescent="0.25">
      <c r="A48" t="s">
        <v>250</v>
      </c>
      <c r="C48" s="3">
        <f>+C47*C45/1000</f>
        <v>10240.36</v>
      </c>
      <c r="D48" s="3">
        <f>+D47*D45/1000</f>
        <v>13361.159999999998</v>
      </c>
      <c r="E48" s="3">
        <f>+E45*E47/1000</f>
        <v>8707.0560253699787</v>
      </c>
      <c r="F48" s="3">
        <f t="shared" ref="F48:M48" si="26">+F45*F47/1000</f>
        <v>18452.959329007754</v>
      </c>
      <c r="G48" s="3">
        <f t="shared" si="26"/>
        <v>21108.245395632217</v>
      </c>
      <c r="H48" s="3">
        <f t="shared" si="26"/>
        <v>23848.536416833656</v>
      </c>
      <c r="I48" s="3">
        <f>+I45*I47/1000</f>
        <v>25334.546357965337</v>
      </c>
      <c r="J48" s="3">
        <f t="shared" si="26"/>
        <v>26845.101467655444</v>
      </c>
      <c r="K48" s="3">
        <f t="shared" si="26"/>
        <v>28385.503031519012</v>
      </c>
      <c r="L48" s="3">
        <f t="shared" si="26"/>
        <v>29960.868526256112</v>
      </c>
      <c r="M48" s="3">
        <f t="shared" si="26"/>
        <v>31576.16557373359</v>
      </c>
    </row>
    <row r="49" spans="1:33" x14ac:dyDescent="0.25">
      <c r="A49" t="s">
        <v>253</v>
      </c>
      <c r="C49" s="3">
        <f>+Rozbor!E67</f>
        <v>178880</v>
      </c>
      <c r="D49" s="3">
        <f>+Rozbor!F67</f>
        <v>125912</v>
      </c>
      <c r="E49">
        <v>192291</v>
      </c>
      <c r="F49">
        <v>192291</v>
      </c>
      <c r="G49">
        <v>192291</v>
      </c>
      <c r="H49">
        <v>192291</v>
      </c>
      <c r="I49">
        <v>192291</v>
      </c>
      <c r="J49">
        <v>192291</v>
      </c>
      <c r="K49">
        <v>192291</v>
      </c>
      <c r="L49">
        <v>192291</v>
      </c>
      <c r="M49">
        <v>192291</v>
      </c>
    </row>
    <row r="50" spans="1:33" x14ac:dyDescent="0.25">
      <c r="A50" t="s">
        <v>347</v>
      </c>
      <c r="C50" s="3">
        <v>35214</v>
      </c>
    </row>
    <row r="51" spans="1:33" x14ac:dyDescent="0.25">
      <c r="A51" t="s">
        <v>251</v>
      </c>
      <c r="C51" s="3">
        <f>+C45-C50</f>
        <v>11786</v>
      </c>
      <c r="D51" s="3">
        <f>+D45-(D49-D55-C51)</f>
        <v>58151</v>
      </c>
      <c r="O51" t="s">
        <v>379</v>
      </c>
      <c r="Q51">
        <f>+GEOMEAN(C52:H52)</f>
        <v>0.13872127001341877</v>
      </c>
      <c r="R51" s="24">
        <f>+AVERAGE(C52:H52)</f>
        <v>0.13924250670447261</v>
      </c>
    </row>
    <row r="52" spans="1:33" x14ac:dyDescent="0.25">
      <c r="A52" t="s">
        <v>348</v>
      </c>
      <c r="C52" s="24">
        <f>1-C53/B53</f>
        <v>0.13858461779203501</v>
      </c>
      <c r="D52" s="24">
        <f t="shared" ref="D52:H52" si="27">1-D53/C53</f>
        <v>0.14382706237652987</v>
      </c>
      <c r="E52" s="24">
        <f t="shared" si="27"/>
        <v>0.14902532820580827</v>
      </c>
      <c r="F52" s="24">
        <f t="shared" si="27"/>
        <v>0.15368073302998198</v>
      </c>
      <c r="G52" s="24">
        <f t="shared" si="27"/>
        <v>0.13268274719204565</v>
      </c>
      <c r="H52" s="24">
        <f t="shared" si="27"/>
        <v>0.11765455163043481</v>
      </c>
      <c r="I52">
        <f>+$Q$51</f>
        <v>0.13872127001341877</v>
      </c>
      <c r="J52">
        <f>+$Q$51</f>
        <v>0.13872127001341877</v>
      </c>
      <c r="K52">
        <f t="shared" ref="K52:M52" si="28">+$Q$51</f>
        <v>0.13872127001341877</v>
      </c>
      <c r="L52">
        <f t="shared" si="28"/>
        <v>0.13872127001341877</v>
      </c>
      <c r="M52">
        <f t="shared" si="28"/>
        <v>0.13872127001341877</v>
      </c>
      <c r="O52" t="s">
        <v>349</v>
      </c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25">
      <c r="A53" t="s">
        <v>378</v>
      </c>
      <c r="B53" s="3">
        <v>51124</v>
      </c>
      <c r="C53" s="3">
        <v>44039</v>
      </c>
      <c r="D53" s="3">
        <v>37705</v>
      </c>
      <c r="E53" s="3">
        <v>32086</v>
      </c>
      <c r="F53" s="3">
        <v>27155</v>
      </c>
      <c r="G53" s="3">
        <v>23552</v>
      </c>
      <c r="H53" s="3">
        <v>20781</v>
      </c>
      <c r="I53" s="3">
        <f>+H53*(1-I52)</f>
        <v>17898.233287851144</v>
      </c>
      <c r="J53" s="3">
        <f>+I53*(1-J52)</f>
        <v>15415.367635163984</v>
      </c>
      <c r="K53" s="3">
        <f t="shared" ref="K53:M53" si="29">+J53*(1-K52)</f>
        <v>13276.928259090284</v>
      </c>
      <c r="L53" s="3">
        <f t="shared" si="29"/>
        <v>11435.13590911223</v>
      </c>
      <c r="M53" s="3">
        <f t="shared" si="29"/>
        <v>9848.8393330241306</v>
      </c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25">
      <c r="A54" t="s">
        <v>377</v>
      </c>
      <c r="B54" s="3">
        <v>60858</v>
      </c>
      <c r="C54" s="3">
        <v>50715</v>
      </c>
      <c r="D54" s="3">
        <v>40572</v>
      </c>
      <c r="E54" s="3">
        <v>30429</v>
      </c>
      <c r="F54" s="3">
        <v>20286</v>
      </c>
      <c r="G54" s="3">
        <v>10143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25">
      <c r="A55" t="s">
        <v>252</v>
      </c>
      <c r="C55" s="3">
        <f>+C53+C54</f>
        <v>94754</v>
      </c>
      <c r="D55" s="3">
        <f t="shared" ref="D55:M55" si="30">+D53+D54</f>
        <v>78277</v>
      </c>
      <c r="E55" s="3">
        <f t="shared" si="30"/>
        <v>62515</v>
      </c>
      <c r="F55" s="3">
        <f t="shared" si="30"/>
        <v>47441</v>
      </c>
      <c r="G55" s="3">
        <f t="shared" si="30"/>
        <v>33695</v>
      </c>
      <c r="H55" s="3">
        <f t="shared" si="30"/>
        <v>20781</v>
      </c>
      <c r="I55" s="3">
        <f t="shared" si="30"/>
        <v>17898.233287851144</v>
      </c>
      <c r="J55" s="3">
        <f t="shared" si="30"/>
        <v>15415.367635163984</v>
      </c>
      <c r="K55" s="3">
        <f t="shared" si="30"/>
        <v>13276.928259090284</v>
      </c>
      <c r="L55" s="3">
        <f t="shared" si="30"/>
        <v>11435.13590911223</v>
      </c>
      <c r="M55" s="3">
        <f t="shared" si="30"/>
        <v>9848.8393330241306</v>
      </c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25"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x14ac:dyDescent="0.25">
      <c r="A57" s="1" t="s">
        <v>95</v>
      </c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25">
      <c r="B58">
        <v>2015</v>
      </c>
      <c r="C58">
        <v>2016</v>
      </c>
      <c r="D58">
        <v>2017</v>
      </c>
      <c r="E58">
        <v>2018</v>
      </c>
      <c r="F58">
        <v>2019</v>
      </c>
      <c r="G58">
        <v>2020</v>
      </c>
      <c r="H58">
        <v>2021</v>
      </c>
      <c r="I58">
        <v>2022</v>
      </c>
      <c r="J58">
        <v>2023</v>
      </c>
      <c r="K58">
        <v>2024</v>
      </c>
      <c r="L58">
        <v>2025</v>
      </c>
    </row>
    <row r="59" spans="1:33" x14ac:dyDescent="0.25">
      <c r="A59" t="s">
        <v>283</v>
      </c>
      <c r="B59" s="3">
        <f>+Parmetry!G36</f>
        <v>205</v>
      </c>
      <c r="C59" s="3">
        <f>+Parmetry!H36</f>
        <v>173</v>
      </c>
      <c r="D59" s="3">
        <v>173</v>
      </c>
      <c r="E59" s="3">
        <v>173</v>
      </c>
      <c r="F59" s="3">
        <v>173</v>
      </c>
      <c r="G59" s="3">
        <v>173</v>
      </c>
      <c r="H59" s="3">
        <v>173</v>
      </c>
      <c r="I59" s="3">
        <v>173</v>
      </c>
      <c r="J59" s="3">
        <v>173</v>
      </c>
      <c r="K59" s="3">
        <v>173</v>
      </c>
      <c r="L59" s="3">
        <v>173</v>
      </c>
      <c r="M59" t="s">
        <v>286</v>
      </c>
      <c r="N59">
        <v>0.02</v>
      </c>
    </row>
    <row r="60" spans="1:33" x14ac:dyDescent="0.25">
      <c r="A60" t="s">
        <v>284</v>
      </c>
      <c r="B60" s="3">
        <f>+Rozbor!D12</f>
        <v>82829</v>
      </c>
      <c r="C60" s="3">
        <v>75095</v>
      </c>
      <c r="D60" s="3">
        <f>+D61*D59</f>
        <v>76596.899999999994</v>
      </c>
      <c r="E60" s="3">
        <f t="shared" ref="E60:H60" si="31">+E61*E59</f>
        <v>78128.838000000003</v>
      </c>
      <c r="F60" s="3">
        <f t="shared" si="31"/>
        <v>79691.41476</v>
      </c>
      <c r="G60" s="3">
        <f t="shared" si="31"/>
        <v>81285.243055200001</v>
      </c>
      <c r="H60" s="3">
        <f t="shared" si="31"/>
        <v>82910.947916304009</v>
      </c>
      <c r="I60" s="3">
        <f>+I61*I59</f>
        <v>84569.166874630086</v>
      </c>
      <c r="J60" s="3">
        <f t="shared" ref="J60:L60" si="32">+J61*J59</f>
        <v>86260.550212122675</v>
      </c>
      <c r="K60" s="3">
        <f t="shared" si="32"/>
        <v>87985.761216365136</v>
      </c>
      <c r="L60" s="3">
        <f t="shared" si="32"/>
        <v>89745.476440692422</v>
      </c>
      <c r="M60" s="3"/>
    </row>
    <row r="61" spans="1:33" x14ac:dyDescent="0.25">
      <c r="A61" t="s">
        <v>285</v>
      </c>
      <c r="B61" s="24">
        <f>+B60/B59</f>
        <v>404.04390243902441</v>
      </c>
      <c r="C61" s="24">
        <f>+C60/C59</f>
        <v>434.07514450867052</v>
      </c>
      <c r="D61" s="24">
        <f t="shared" ref="D61:L61" si="33">+C61*$N$59+C61</f>
        <v>442.75664739884394</v>
      </c>
      <c r="E61" s="24">
        <f t="shared" si="33"/>
        <v>451.61178034682081</v>
      </c>
      <c r="F61" s="24">
        <f t="shared" si="33"/>
        <v>460.64401595375722</v>
      </c>
      <c r="G61" s="24">
        <f t="shared" si="33"/>
        <v>469.85689627283239</v>
      </c>
      <c r="H61" s="24">
        <f t="shared" si="33"/>
        <v>479.25403419828905</v>
      </c>
      <c r="I61" s="24">
        <f t="shared" si="33"/>
        <v>488.83911488225482</v>
      </c>
      <c r="J61" s="24">
        <f t="shared" si="33"/>
        <v>498.61589717989989</v>
      </c>
      <c r="K61" s="24">
        <f t="shared" si="33"/>
        <v>508.58821512349789</v>
      </c>
      <c r="L61" s="24">
        <f t="shared" si="33"/>
        <v>518.7599794259678</v>
      </c>
      <c r="M61" s="24"/>
    </row>
    <row r="63" spans="1:33" x14ac:dyDescent="0.25">
      <c r="A63" s="1" t="s">
        <v>105</v>
      </c>
    </row>
    <row r="64" spans="1:33" x14ac:dyDescent="0.25">
      <c r="B64">
        <v>2015</v>
      </c>
      <c r="C64">
        <v>2016</v>
      </c>
      <c r="D64">
        <v>2017</v>
      </c>
      <c r="E64">
        <v>2018</v>
      </c>
      <c r="F64">
        <v>2019</v>
      </c>
      <c r="G64">
        <v>2020</v>
      </c>
      <c r="H64">
        <v>2021</v>
      </c>
      <c r="I64">
        <v>2022</v>
      </c>
      <c r="J64">
        <v>2023</v>
      </c>
      <c r="K64">
        <v>2024</v>
      </c>
      <c r="L64">
        <v>2025</v>
      </c>
      <c r="M64" t="s">
        <v>287</v>
      </c>
    </row>
    <row r="65" spans="1:38" x14ac:dyDescent="0.25">
      <c r="A65" t="s">
        <v>122</v>
      </c>
      <c r="B65" s="3">
        <f>+Rozbor!D18</f>
        <v>0</v>
      </c>
      <c r="C65" s="3">
        <v>23214</v>
      </c>
      <c r="D65" s="3">
        <f>+C65*(1+$N$65)</f>
        <v>23678.28</v>
      </c>
      <c r="E65" s="3">
        <f t="shared" ref="E65:L65" si="34">+D65*(1+$N$27)</f>
        <v>24151.845600000001</v>
      </c>
      <c r="F65" s="3">
        <f t="shared" si="34"/>
        <v>24634.882512</v>
      </c>
      <c r="G65" s="3">
        <f t="shared" si="34"/>
        <v>25127.580162239999</v>
      </c>
      <c r="H65" s="3">
        <f t="shared" si="34"/>
        <v>25630.131765484799</v>
      </c>
      <c r="I65" s="3">
        <f t="shared" si="34"/>
        <v>26142.734400794496</v>
      </c>
      <c r="J65" s="3">
        <f t="shared" si="34"/>
        <v>26665.589088810386</v>
      </c>
      <c r="K65" s="3">
        <f t="shared" si="34"/>
        <v>27198.900870586593</v>
      </c>
      <c r="L65" s="3">
        <f t="shared" si="34"/>
        <v>27742.878887998326</v>
      </c>
      <c r="M65" t="s">
        <v>294</v>
      </c>
      <c r="N65">
        <v>0.02</v>
      </c>
    </row>
    <row r="67" spans="1:38" x14ac:dyDescent="0.25">
      <c r="A67" s="1" t="s">
        <v>298</v>
      </c>
      <c r="Z67" t="s">
        <v>402</v>
      </c>
    </row>
    <row r="68" spans="1:38" x14ac:dyDescent="0.25">
      <c r="B68">
        <v>2015</v>
      </c>
      <c r="C68">
        <v>2016</v>
      </c>
      <c r="D68">
        <v>2017</v>
      </c>
      <c r="E68">
        <v>2018</v>
      </c>
      <c r="F68">
        <v>2019</v>
      </c>
      <c r="G68">
        <v>2020</v>
      </c>
      <c r="H68">
        <v>2021</v>
      </c>
      <c r="I68">
        <v>2022</v>
      </c>
      <c r="J68">
        <v>2023</v>
      </c>
      <c r="K68">
        <v>2024</v>
      </c>
      <c r="L68">
        <v>2025</v>
      </c>
      <c r="O68" t="s">
        <v>388</v>
      </c>
      <c r="Z68">
        <v>2017</v>
      </c>
      <c r="AA68">
        <v>2016</v>
      </c>
    </row>
    <row r="69" spans="1:38" x14ac:dyDescent="0.25">
      <c r="A69" t="s">
        <v>295</v>
      </c>
      <c r="B69" s="3">
        <f>+Rozbor!L89</f>
        <v>508000</v>
      </c>
      <c r="C69" s="3">
        <f>+Rozbor!M89</f>
        <v>529744</v>
      </c>
      <c r="D69" s="3">
        <v>645436</v>
      </c>
      <c r="E69" s="3">
        <f>+D69</f>
        <v>645436</v>
      </c>
      <c r="F69" s="3">
        <f t="shared" ref="F69:L69" si="35">+E69</f>
        <v>645436</v>
      </c>
      <c r="G69" s="3">
        <f t="shared" si="35"/>
        <v>645436</v>
      </c>
      <c r="H69" s="3">
        <f t="shared" si="35"/>
        <v>645436</v>
      </c>
      <c r="I69" s="3">
        <f t="shared" si="35"/>
        <v>645436</v>
      </c>
      <c r="J69" s="3">
        <f t="shared" si="35"/>
        <v>645436</v>
      </c>
      <c r="K69" s="3">
        <f t="shared" si="35"/>
        <v>645436</v>
      </c>
      <c r="L69" s="3">
        <f t="shared" si="35"/>
        <v>645436</v>
      </c>
      <c r="O69">
        <v>2006</v>
      </c>
      <c r="P69">
        <v>2007</v>
      </c>
      <c r="Q69">
        <v>2008</v>
      </c>
      <c r="R69">
        <v>2009</v>
      </c>
      <c r="S69">
        <v>2010</v>
      </c>
      <c r="T69">
        <v>2011</v>
      </c>
      <c r="U69">
        <v>2012</v>
      </c>
      <c r="V69">
        <v>2013</v>
      </c>
      <c r="W69">
        <v>2014</v>
      </c>
      <c r="X69">
        <v>2015</v>
      </c>
      <c r="Z69">
        <v>412.2</v>
      </c>
      <c r="AA69">
        <v>414.2</v>
      </c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x14ac:dyDescent="0.25">
      <c r="A70" t="s">
        <v>309</v>
      </c>
      <c r="B70" s="14">
        <f>+Rozbor!L91</f>
        <v>538.69094488188978</v>
      </c>
      <c r="C70" s="14">
        <f>+Rozbor!M91</f>
        <v>483.2050952913105</v>
      </c>
      <c r="D70" s="14">
        <f>+C70*AC79</f>
        <v>478.11934120343915</v>
      </c>
      <c r="E70" s="14">
        <f>+D70+D70*$P$72</f>
        <v>494.67504402153139</v>
      </c>
      <c r="F70" s="14">
        <f t="shared" ref="F70:L70" si="36">+E70+E70*$P$72</f>
        <v>511.80401646538508</v>
      </c>
      <c r="G70" s="14">
        <f t="shared" si="36"/>
        <v>529.52610897973398</v>
      </c>
      <c r="H70" s="14">
        <f t="shared" si="36"/>
        <v>547.86185936503159</v>
      </c>
      <c r="I70" s="14">
        <f t="shared" si="36"/>
        <v>566.8325165783225</v>
      </c>
      <c r="J70" s="14">
        <f t="shared" si="36"/>
        <v>586.46006535825995</v>
      </c>
      <c r="K70" s="14">
        <f t="shared" si="36"/>
        <v>606.76725170280702</v>
      </c>
      <c r="L70" s="14">
        <f t="shared" si="36"/>
        <v>627.77760922914672</v>
      </c>
      <c r="O70">
        <v>271.07</v>
      </c>
      <c r="P70">
        <v>284.36</v>
      </c>
      <c r="Q70">
        <v>315.31</v>
      </c>
      <c r="R70">
        <v>331.97</v>
      </c>
      <c r="S70">
        <v>337.52</v>
      </c>
      <c r="T70">
        <v>355.01</v>
      </c>
      <c r="U70">
        <v>368.25</v>
      </c>
      <c r="V70">
        <v>384.53</v>
      </c>
      <c r="W70">
        <v>398.72</v>
      </c>
      <c r="X70">
        <v>400.64</v>
      </c>
      <c r="Z70">
        <v>202</v>
      </c>
      <c r="AA70">
        <v>203</v>
      </c>
      <c r="AC70" s="37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38" x14ac:dyDescent="0.25">
      <c r="A71" t="s">
        <v>306</v>
      </c>
      <c r="B71" s="3">
        <f>+B69*B70/1000</f>
        <v>273655</v>
      </c>
      <c r="C71" s="3">
        <f t="shared" ref="C71:L71" si="37">+C69*C70/1000</f>
        <v>255975</v>
      </c>
      <c r="D71" s="3">
        <f t="shared" si="37"/>
        <v>308595.4351089829</v>
      </c>
      <c r="E71" s="3">
        <f t="shared" si="37"/>
        <v>319281.0817130811</v>
      </c>
      <c r="F71" s="3">
        <f t="shared" si="37"/>
        <v>330336.73717135226</v>
      </c>
      <c r="G71" s="3">
        <f t="shared" si="37"/>
        <v>341775.21367544361</v>
      </c>
      <c r="H71" s="3">
        <f t="shared" si="37"/>
        <v>353609.76706112857</v>
      </c>
      <c r="I71" s="3">
        <f t="shared" si="37"/>
        <v>365854.1121702462</v>
      </c>
      <c r="J71" s="3">
        <f t="shared" si="37"/>
        <v>378522.43874457391</v>
      </c>
      <c r="K71" s="3">
        <f t="shared" si="37"/>
        <v>391629.42787005292</v>
      </c>
      <c r="L71" s="3">
        <f t="shared" si="37"/>
        <v>405190.26899042359</v>
      </c>
      <c r="P71">
        <f>+P70/O70-1</f>
        <v>4.902792636588349E-2</v>
      </c>
      <c r="Q71">
        <f t="shared" ref="Q71:X71" si="38">+Q70/P70-1</f>
        <v>0.10884090589393725</v>
      </c>
      <c r="R71">
        <f>+R70/Q70-1</f>
        <v>5.2836890679014425E-2</v>
      </c>
      <c r="S71">
        <f t="shared" si="38"/>
        <v>1.6718378166701742E-2</v>
      </c>
      <c r="T71">
        <f t="shared" si="38"/>
        <v>5.1819151457691337E-2</v>
      </c>
      <c r="U71">
        <f t="shared" si="38"/>
        <v>3.7294724092279186E-2</v>
      </c>
      <c r="V71">
        <f t="shared" si="38"/>
        <v>4.4209097080787352E-2</v>
      </c>
      <c r="W71">
        <f t="shared" si="38"/>
        <v>3.6902192286687896E-2</v>
      </c>
      <c r="X71">
        <f t="shared" si="38"/>
        <v>4.8154093097911854E-3</v>
      </c>
      <c r="Z71">
        <v>210.2</v>
      </c>
      <c r="AA71">
        <v>211.2</v>
      </c>
    </row>
    <row r="72" spans="1:38" x14ac:dyDescent="0.25">
      <c r="N72" t="s">
        <v>314</v>
      </c>
      <c r="P72">
        <f>+GEOMEAN(P71:X71)</f>
        <v>3.4626716368388523E-2</v>
      </c>
      <c r="Q72" t="s">
        <v>399</v>
      </c>
      <c r="R72">
        <v>0.01</v>
      </c>
    </row>
    <row r="73" spans="1:38" x14ac:dyDescent="0.25">
      <c r="A73" s="1" t="s">
        <v>310</v>
      </c>
      <c r="B73">
        <v>2015</v>
      </c>
      <c r="C73">
        <v>2016</v>
      </c>
      <c r="D73">
        <v>2017</v>
      </c>
      <c r="E73">
        <v>2018</v>
      </c>
      <c r="F73">
        <v>2019</v>
      </c>
      <c r="G73">
        <v>2020</v>
      </c>
      <c r="H73">
        <v>2021</v>
      </c>
      <c r="I73">
        <v>2022</v>
      </c>
      <c r="J73">
        <v>2023</v>
      </c>
      <c r="K73">
        <v>2024</v>
      </c>
      <c r="L73">
        <v>2025</v>
      </c>
      <c r="Z73">
        <v>538.29999999999995</v>
      </c>
      <c r="AA73">
        <v>547.5</v>
      </c>
    </row>
    <row r="74" spans="1:38" x14ac:dyDescent="0.25">
      <c r="A74" t="s">
        <v>313</v>
      </c>
      <c r="B74" s="3">
        <f>+Rozbor!L98</f>
        <v>86376</v>
      </c>
      <c r="C74" s="3">
        <f>+Rozbor!M96</f>
        <v>27840</v>
      </c>
      <c r="D74" s="3">
        <v>82434</v>
      </c>
      <c r="E74" s="3">
        <v>82434</v>
      </c>
      <c r="F74" s="3">
        <v>82434</v>
      </c>
      <c r="G74" s="3">
        <v>82434</v>
      </c>
      <c r="H74" s="3">
        <v>82434</v>
      </c>
      <c r="I74" s="3">
        <v>82434</v>
      </c>
      <c r="J74" s="3">
        <v>82434</v>
      </c>
      <c r="K74" s="3">
        <v>82434</v>
      </c>
      <c r="L74" s="3">
        <v>82434</v>
      </c>
      <c r="M74" t="s">
        <v>358</v>
      </c>
      <c r="Z74">
        <v>263.8</v>
      </c>
      <c r="AA74">
        <v>301.10000000000002</v>
      </c>
    </row>
    <row r="75" spans="1:38" x14ac:dyDescent="0.25">
      <c r="A75" t="s">
        <v>361</v>
      </c>
      <c r="B75" s="3"/>
      <c r="C75" s="3"/>
      <c r="D75">
        <v>34</v>
      </c>
      <c r="E75">
        <v>29.8</v>
      </c>
      <c r="F75">
        <v>28</v>
      </c>
      <c r="G75">
        <f t="shared" ref="G75:L75" si="39">+F75*(1+$O$75)</f>
        <v>28.560000000000002</v>
      </c>
      <c r="H75">
        <f t="shared" si="39"/>
        <v>29.131200000000003</v>
      </c>
      <c r="I75">
        <f t="shared" si="39"/>
        <v>29.713824000000002</v>
      </c>
      <c r="J75">
        <f t="shared" si="39"/>
        <v>30.308100480000004</v>
      </c>
      <c r="K75">
        <f t="shared" si="39"/>
        <v>30.914262489600006</v>
      </c>
      <c r="L75">
        <f t="shared" si="39"/>
        <v>31.532547739392008</v>
      </c>
      <c r="M75" t="s">
        <v>314</v>
      </c>
      <c r="O75">
        <v>0.02</v>
      </c>
      <c r="Z75">
        <v>274.5</v>
      </c>
      <c r="AA75">
        <v>246.4</v>
      </c>
    </row>
    <row r="76" spans="1:38" x14ac:dyDescent="0.25">
      <c r="A76" t="s">
        <v>365</v>
      </c>
      <c r="B76" s="3">
        <f>+Rozbor!L99</f>
        <v>1032.6992742793607</v>
      </c>
      <c r="C76" s="3">
        <f>+Rozbor!M99</f>
        <v>918.21120689655174</v>
      </c>
      <c r="D76" s="3">
        <f t="shared" ref="D76:L76" si="40">+D75*D5</f>
        <v>898.52008456659621</v>
      </c>
      <c r="E76" s="3">
        <f t="shared" si="40"/>
        <v>785.98934430553356</v>
      </c>
      <c r="F76" s="3">
        <f t="shared" si="40"/>
        <v>734.82091048161624</v>
      </c>
      <c r="G76" s="3">
        <f t="shared" si="40"/>
        <v>745.76974204779242</v>
      </c>
      <c r="H76" s="3">
        <f t="shared" si="40"/>
        <v>756.88171120430457</v>
      </c>
      <c r="I76" s="3">
        <f t="shared" si="40"/>
        <v>768.15924870124877</v>
      </c>
      <c r="J76" s="3">
        <f t="shared" si="40"/>
        <v>779.60482150689745</v>
      </c>
      <c r="K76" s="3">
        <f t="shared" si="40"/>
        <v>791.22093334735018</v>
      </c>
      <c r="L76" s="3">
        <f t="shared" si="40"/>
        <v>803.01012525422584</v>
      </c>
      <c r="Z76">
        <v>494.7</v>
      </c>
      <c r="AA76">
        <v>510.1</v>
      </c>
    </row>
    <row r="77" spans="1:38" x14ac:dyDescent="0.25">
      <c r="A77" t="s">
        <v>310</v>
      </c>
      <c r="B77" s="3">
        <f>+B74*B76/1000</f>
        <v>89200.432515154069</v>
      </c>
      <c r="C77" s="3">
        <f t="shared" ref="C77:L77" si="41">+C74*C76/1000</f>
        <v>25563</v>
      </c>
      <c r="D77" s="3">
        <f t="shared" si="41"/>
        <v>74068.604651162794</v>
      </c>
      <c r="E77" s="3">
        <f t="shared" si="41"/>
        <v>64792.24560848235</v>
      </c>
      <c r="F77" s="3">
        <f t="shared" si="41"/>
        <v>60574.226934641556</v>
      </c>
      <c r="G77" s="3">
        <f>+G74*G76/1000</f>
        <v>61476.78291596772</v>
      </c>
      <c r="H77" s="3">
        <f t="shared" si="41"/>
        <v>62392.786981415644</v>
      </c>
      <c r="I77" s="3">
        <f t="shared" si="41"/>
        <v>63322.439507438743</v>
      </c>
      <c r="J77" s="3">
        <f t="shared" si="41"/>
        <v>64265.943856099584</v>
      </c>
      <c r="K77" s="3">
        <f t="shared" si="41"/>
        <v>65223.506419555466</v>
      </c>
      <c r="L77" s="3">
        <f t="shared" si="41"/>
        <v>66195.336665206851</v>
      </c>
      <c r="Z77">
        <v>242.4</v>
      </c>
      <c r="AA77">
        <v>280.5</v>
      </c>
    </row>
    <row r="78" spans="1:38" x14ac:dyDescent="0.25">
      <c r="A78" t="s">
        <v>381</v>
      </c>
      <c r="D78" s="3">
        <v>36361</v>
      </c>
      <c r="E78" s="3">
        <v>36361</v>
      </c>
      <c r="F78" s="3">
        <v>36361</v>
      </c>
      <c r="G78" s="3">
        <v>36361</v>
      </c>
      <c r="H78" s="3">
        <v>36361</v>
      </c>
      <c r="I78" s="3">
        <v>36361</v>
      </c>
      <c r="J78" s="3">
        <v>36361</v>
      </c>
      <c r="K78" s="3">
        <v>36361</v>
      </c>
      <c r="L78" s="3">
        <v>36361</v>
      </c>
      <c r="Z78">
        <v>252.3</v>
      </c>
      <c r="AA78">
        <v>229.6</v>
      </c>
    </row>
    <row r="79" spans="1:38" x14ac:dyDescent="0.25">
      <c r="A79" t="s">
        <v>386</v>
      </c>
      <c r="D79" s="3">
        <f t="shared" ref="D79:L79" si="42">+D78*$P$79/1000</f>
        <v>7272.2</v>
      </c>
      <c r="E79" s="3">
        <f t="shared" si="42"/>
        <v>7272.2</v>
      </c>
      <c r="F79" s="3">
        <f t="shared" si="42"/>
        <v>7272.2</v>
      </c>
      <c r="G79" s="3">
        <f t="shared" si="42"/>
        <v>7272.2</v>
      </c>
      <c r="H79" s="3">
        <f t="shared" si="42"/>
        <v>7272.2</v>
      </c>
      <c r="I79" s="3">
        <f t="shared" si="42"/>
        <v>7272.2</v>
      </c>
      <c r="J79" s="3">
        <f t="shared" si="42"/>
        <v>7272.2</v>
      </c>
      <c r="K79" s="3">
        <f>+K78*$P$79/1000</f>
        <v>7272.2</v>
      </c>
      <c r="L79" s="3">
        <f t="shared" si="42"/>
        <v>7272.2</v>
      </c>
      <c r="N79" t="s">
        <v>387</v>
      </c>
      <c r="P79">
        <v>200</v>
      </c>
      <c r="Y79" t="s">
        <v>403</v>
      </c>
      <c r="Z79">
        <f>+AVERAGE(Z68:Z78)</f>
        <v>490.73999999999995</v>
      </c>
      <c r="AA79">
        <f>+AVERAGE(AA68:AA78)</f>
        <v>495.96000000000004</v>
      </c>
      <c r="AB79" t="s">
        <v>384</v>
      </c>
      <c r="AC79">
        <f>+Z79/AA79</f>
        <v>0.98947495765787552</v>
      </c>
    </row>
    <row r="81" spans="1:16" x14ac:dyDescent="0.25">
      <c r="A81" s="1" t="s">
        <v>317</v>
      </c>
      <c r="B81">
        <v>2015</v>
      </c>
      <c r="C81">
        <v>2016</v>
      </c>
      <c r="D81">
        <v>2017</v>
      </c>
      <c r="E81">
        <v>2018</v>
      </c>
      <c r="F81">
        <v>2019</v>
      </c>
      <c r="G81">
        <v>2020</v>
      </c>
      <c r="H81">
        <v>2021</v>
      </c>
      <c r="I81">
        <v>2022</v>
      </c>
      <c r="J81">
        <v>2023</v>
      </c>
      <c r="K81">
        <v>2024</v>
      </c>
      <c r="L81">
        <v>2025</v>
      </c>
    </row>
    <row r="82" spans="1:16" x14ac:dyDescent="0.25">
      <c r="A82" t="s">
        <v>320</v>
      </c>
      <c r="B82" s="3">
        <f>+Rozbor!B36</f>
        <v>4426059</v>
      </c>
      <c r="C82" s="3">
        <f>+Rozbor!B44</f>
        <v>2304967</v>
      </c>
      <c r="D82" s="3">
        <v>4062811</v>
      </c>
      <c r="E82" s="3">
        <v>4062811</v>
      </c>
      <c r="F82" s="3">
        <v>4062811</v>
      </c>
      <c r="G82" s="3">
        <v>4062811</v>
      </c>
      <c r="H82" s="3">
        <v>4062811</v>
      </c>
      <c r="I82" s="3">
        <v>4062811</v>
      </c>
      <c r="J82" s="3">
        <v>4062811</v>
      </c>
      <c r="K82" s="3">
        <v>4062811</v>
      </c>
      <c r="L82" s="3">
        <v>4062811</v>
      </c>
    </row>
    <row r="83" spans="1:16" x14ac:dyDescent="0.25">
      <c r="A83" t="s">
        <v>319</v>
      </c>
      <c r="B83">
        <f>+Rozbor!F36</f>
        <v>1.22</v>
      </c>
      <c r="C83">
        <f>+B83</f>
        <v>1.22</v>
      </c>
      <c r="D83">
        <f t="shared" ref="D83" si="43">+C83</f>
        <v>1.22</v>
      </c>
      <c r="E83">
        <f>+D83+D83*$O$83</f>
        <v>1.2444</v>
      </c>
      <c r="F83">
        <f t="shared" ref="F83:L83" si="44">+E83+E83*$O$83</f>
        <v>1.269288</v>
      </c>
      <c r="G83">
        <f t="shared" si="44"/>
        <v>1.29467376</v>
      </c>
      <c r="H83">
        <f t="shared" si="44"/>
        <v>1.3205672352</v>
      </c>
      <c r="I83">
        <f t="shared" si="44"/>
        <v>1.3469785799039999</v>
      </c>
      <c r="J83">
        <f t="shared" si="44"/>
        <v>1.37391815150208</v>
      </c>
      <c r="K83">
        <f t="shared" si="44"/>
        <v>1.4013965145321217</v>
      </c>
      <c r="L83">
        <f t="shared" si="44"/>
        <v>1.429424444822764</v>
      </c>
      <c r="N83" t="s">
        <v>336</v>
      </c>
      <c r="O83">
        <v>0.02</v>
      </c>
    </row>
    <row r="84" spans="1:16" x14ac:dyDescent="0.25">
      <c r="A84" t="s">
        <v>269</v>
      </c>
      <c r="B84" s="3">
        <f>+B82*B83/1000</f>
        <v>5399.79198</v>
      </c>
      <c r="C84" s="3">
        <f t="shared" ref="C84:L84" si="45">+C82*C83/1000</f>
        <v>2812.0597399999997</v>
      </c>
      <c r="D84" s="3">
        <f t="shared" si="45"/>
        <v>4956.6294200000002</v>
      </c>
      <c r="E84" s="3">
        <f t="shared" si="45"/>
        <v>5055.7620084</v>
      </c>
      <c r="F84" s="3">
        <f t="shared" si="45"/>
        <v>5156.8772485680001</v>
      </c>
      <c r="G84" s="3">
        <f t="shared" si="45"/>
        <v>5260.0147935393597</v>
      </c>
      <c r="H84" s="3">
        <f t="shared" si="45"/>
        <v>5365.2150894101469</v>
      </c>
      <c r="I84" s="3">
        <f t="shared" si="45"/>
        <v>5472.5193911983497</v>
      </c>
      <c r="J84" s="3">
        <f t="shared" si="45"/>
        <v>5581.9697790223172</v>
      </c>
      <c r="K84" s="3">
        <f t="shared" si="45"/>
        <v>5693.6091746027641</v>
      </c>
      <c r="L84" s="3">
        <f t="shared" si="45"/>
        <v>5807.4813580948185</v>
      </c>
    </row>
    <row r="85" spans="1:16" x14ac:dyDescent="0.25">
      <c r="A85" t="s">
        <v>321</v>
      </c>
      <c r="B85" s="3">
        <f>+Rozbor!B37</f>
        <v>181257</v>
      </c>
      <c r="C85" s="3">
        <f>+Rozbor!B45</f>
        <v>202616</v>
      </c>
      <c r="D85" s="3">
        <f>+Rozbor!$K$32</f>
        <v>191861.42857142858</v>
      </c>
      <c r="E85" s="3">
        <f>+Rozbor!$K$32</f>
        <v>191861.42857142858</v>
      </c>
      <c r="F85" s="3">
        <f>+Rozbor!$K$32</f>
        <v>191861.42857142858</v>
      </c>
      <c r="G85" s="3">
        <f>+Rozbor!$K$32</f>
        <v>191861.42857142858</v>
      </c>
      <c r="H85" s="3">
        <f>+Rozbor!$K$32</f>
        <v>191861.42857142858</v>
      </c>
      <c r="I85" s="3">
        <f>+Rozbor!$K$32</f>
        <v>191861.42857142858</v>
      </c>
      <c r="J85" s="3">
        <f>+Rozbor!$K$32</f>
        <v>191861.42857142858</v>
      </c>
      <c r="K85" s="3">
        <f>+Rozbor!$K$32</f>
        <v>191861.42857142858</v>
      </c>
      <c r="L85" s="3">
        <f>+Rozbor!$K$32</f>
        <v>191861.42857142858</v>
      </c>
    </row>
    <row r="86" spans="1:16" x14ac:dyDescent="0.25">
      <c r="A86" t="s">
        <v>319</v>
      </c>
      <c r="B86">
        <f>+Rozbor!F45</f>
        <v>3.4</v>
      </c>
      <c r="C86">
        <f>+$B$86</f>
        <v>3.4</v>
      </c>
      <c r="D86">
        <f t="shared" ref="D86" si="46">+$B$86</f>
        <v>3.4</v>
      </c>
      <c r="E86">
        <f>+D86+D86*$O$83</f>
        <v>3.468</v>
      </c>
      <c r="F86">
        <f t="shared" ref="F86:L86" si="47">+E86+E86*$O$83</f>
        <v>3.5373600000000001</v>
      </c>
      <c r="G86">
        <f t="shared" si="47"/>
        <v>3.6081072000000001</v>
      </c>
      <c r="H86">
        <f t="shared" si="47"/>
        <v>3.6802693440000001</v>
      </c>
      <c r="I86">
        <f t="shared" si="47"/>
        <v>3.7538747308800002</v>
      </c>
      <c r="J86">
        <f t="shared" si="47"/>
        <v>3.8289522254976003</v>
      </c>
      <c r="K86">
        <f t="shared" si="47"/>
        <v>3.9055312700075522</v>
      </c>
      <c r="L86">
        <f t="shared" si="47"/>
        <v>3.9836418954077031</v>
      </c>
    </row>
    <row r="87" spans="1:16" x14ac:dyDescent="0.25">
      <c r="A87" t="s">
        <v>323</v>
      </c>
      <c r="B87" s="3">
        <f>+B85*B86/1000</f>
        <v>616.27379999999994</v>
      </c>
      <c r="C87" s="3">
        <f t="shared" ref="C87:L87" si="48">+C85*C86/1000</f>
        <v>688.89440000000002</v>
      </c>
      <c r="D87" s="3">
        <f t="shared" si="48"/>
        <v>652.32885714285715</v>
      </c>
      <c r="E87" s="3">
        <f t="shared" si="48"/>
        <v>665.37543428571428</v>
      </c>
      <c r="F87" s="3">
        <f t="shared" si="48"/>
        <v>678.68294297142859</v>
      </c>
      <c r="G87" s="3">
        <f t="shared" si="48"/>
        <v>692.25660183085722</v>
      </c>
      <c r="H87" s="3">
        <f t="shared" si="48"/>
        <v>706.10173386747442</v>
      </c>
      <c r="I87" s="3">
        <f t="shared" si="48"/>
        <v>720.22376854482388</v>
      </c>
      <c r="J87" s="3">
        <f t="shared" si="48"/>
        <v>734.62824391572042</v>
      </c>
      <c r="K87" s="3">
        <f t="shared" si="48"/>
        <v>749.32080879403475</v>
      </c>
      <c r="L87" s="3">
        <f t="shared" si="48"/>
        <v>764.3072249699153</v>
      </c>
    </row>
    <row r="88" spans="1:16" x14ac:dyDescent="0.25">
      <c r="A88" t="s">
        <v>322</v>
      </c>
      <c r="B88" s="3">
        <f>+Rozbor!B46</f>
        <v>6120</v>
      </c>
      <c r="C88" s="3">
        <f>+$B$88</f>
        <v>6120</v>
      </c>
      <c r="D88" s="3">
        <f t="shared" ref="D88:L88" si="49">+$B$88</f>
        <v>6120</v>
      </c>
      <c r="E88" s="3">
        <f t="shared" si="49"/>
        <v>6120</v>
      </c>
      <c r="F88" s="3">
        <f t="shared" si="49"/>
        <v>6120</v>
      </c>
      <c r="G88" s="3">
        <f t="shared" si="49"/>
        <v>6120</v>
      </c>
      <c r="H88" s="3">
        <f t="shared" si="49"/>
        <v>6120</v>
      </c>
      <c r="I88" s="3">
        <f t="shared" si="49"/>
        <v>6120</v>
      </c>
      <c r="J88" s="3">
        <f t="shared" si="49"/>
        <v>6120</v>
      </c>
      <c r="K88" s="3">
        <f t="shared" si="49"/>
        <v>6120</v>
      </c>
      <c r="L88" s="3">
        <f t="shared" si="49"/>
        <v>6120</v>
      </c>
    </row>
    <row r="89" spans="1:16" x14ac:dyDescent="0.25">
      <c r="A89" t="s">
        <v>319</v>
      </c>
      <c r="B89" s="26">
        <f>+Rozbor!F38</f>
        <v>76.33</v>
      </c>
      <c r="C89" s="26">
        <f>+Rozbor!F46</f>
        <v>77.42</v>
      </c>
      <c r="D89" s="26">
        <v>79.23</v>
      </c>
      <c r="E89" s="26">
        <f>+D89+D89*$O$83</f>
        <v>80.814599999999999</v>
      </c>
      <c r="F89" s="26">
        <f t="shared" ref="F89:L89" si="50">+E89+E89*$O$83</f>
        <v>82.430892</v>
      </c>
      <c r="G89" s="26">
        <f t="shared" si="50"/>
        <v>84.07950984</v>
      </c>
      <c r="H89" s="26">
        <f t="shared" si="50"/>
        <v>85.761100036800002</v>
      </c>
      <c r="I89" s="26">
        <f t="shared" si="50"/>
        <v>87.476322037536008</v>
      </c>
      <c r="J89" s="26">
        <f t="shared" si="50"/>
        <v>89.225848478286721</v>
      </c>
      <c r="K89" s="26">
        <f t="shared" si="50"/>
        <v>91.01036544785245</v>
      </c>
      <c r="L89" s="26">
        <f t="shared" si="50"/>
        <v>92.830572756809502</v>
      </c>
    </row>
    <row r="90" spans="1:16" x14ac:dyDescent="0.25">
      <c r="A90" t="s">
        <v>323</v>
      </c>
      <c r="B90" s="3">
        <f>+B89*B88/1000</f>
        <v>467.13959999999997</v>
      </c>
      <c r="C90" s="3">
        <f t="shared" ref="C90:L90" si="51">+C89*C88/1000</f>
        <v>473.81040000000002</v>
      </c>
      <c r="D90" s="3">
        <f t="shared" si="51"/>
        <v>484.88760000000002</v>
      </c>
      <c r="E90" s="3">
        <f t="shared" si="51"/>
        <v>494.585352</v>
      </c>
      <c r="F90" s="3">
        <f t="shared" si="51"/>
        <v>504.47705904000003</v>
      </c>
      <c r="G90" s="3">
        <f t="shared" si="51"/>
        <v>514.56660022080007</v>
      </c>
      <c r="H90" s="3">
        <f t="shared" si="51"/>
        <v>524.85793222521602</v>
      </c>
      <c r="I90" s="3">
        <f t="shared" si="51"/>
        <v>535.35509086972036</v>
      </c>
      <c r="J90" s="3">
        <f t="shared" si="51"/>
        <v>546.0621926871147</v>
      </c>
      <c r="K90" s="3">
        <f t="shared" si="51"/>
        <v>556.98343654085693</v>
      </c>
      <c r="L90" s="3">
        <f t="shared" si="51"/>
        <v>568.12310527167415</v>
      </c>
    </row>
    <row r="92" spans="1:16" x14ac:dyDescent="0.25">
      <c r="A92" s="1" t="s">
        <v>327</v>
      </c>
      <c r="B92">
        <v>2015</v>
      </c>
      <c r="C92">
        <v>2016</v>
      </c>
      <c r="D92">
        <v>2017</v>
      </c>
      <c r="E92">
        <v>2018</v>
      </c>
      <c r="F92">
        <v>2019</v>
      </c>
      <c r="G92">
        <v>2020</v>
      </c>
      <c r="H92">
        <v>2021</v>
      </c>
      <c r="I92">
        <v>2022</v>
      </c>
      <c r="J92">
        <v>2023</v>
      </c>
      <c r="K92">
        <v>2024</v>
      </c>
      <c r="L92">
        <v>2025</v>
      </c>
    </row>
    <row r="93" spans="1:16" x14ac:dyDescent="0.25">
      <c r="A93" t="s">
        <v>329</v>
      </c>
      <c r="B93">
        <v>57</v>
      </c>
      <c r="C93">
        <v>57</v>
      </c>
      <c r="D93">
        <v>57</v>
      </c>
      <c r="E93">
        <v>57</v>
      </c>
      <c r="F93">
        <v>57</v>
      </c>
      <c r="G93">
        <v>57</v>
      </c>
      <c r="H93">
        <v>57</v>
      </c>
      <c r="I93">
        <v>57</v>
      </c>
      <c r="J93">
        <v>57</v>
      </c>
      <c r="K93">
        <v>57</v>
      </c>
      <c r="L93">
        <v>57</v>
      </c>
      <c r="N93" t="s">
        <v>334</v>
      </c>
      <c r="O93">
        <v>0.02</v>
      </c>
      <c r="P93" t="s">
        <v>336</v>
      </c>
    </row>
    <row r="94" spans="1:16" x14ac:dyDescent="0.25">
      <c r="A94" t="s">
        <v>330</v>
      </c>
      <c r="B94" s="3">
        <v>28000</v>
      </c>
      <c r="C94" s="3">
        <f t="shared" ref="C94:L94" si="52">B94*(1+$O$93)</f>
        <v>28560</v>
      </c>
      <c r="D94" s="3">
        <f t="shared" si="52"/>
        <v>29131.200000000001</v>
      </c>
      <c r="E94" s="3">
        <f t="shared" si="52"/>
        <v>29713.824000000001</v>
      </c>
      <c r="F94" s="3">
        <f t="shared" si="52"/>
        <v>30308.100480000001</v>
      </c>
      <c r="G94" s="3">
        <f t="shared" si="52"/>
        <v>30914.262489600002</v>
      </c>
      <c r="H94" s="3">
        <f t="shared" si="52"/>
        <v>31532.547739392001</v>
      </c>
      <c r="I94" s="3">
        <f t="shared" si="52"/>
        <v>32163.198694179842</v>
      </c>
      <c r="J94" s="3">
        <f t="shared" si="52"/>
        <v>32806.462668063439</v>
      </c>
      <c r="K94" s="3">
        <f t="shared" si="52"/>
        <v>33462.591921424711</v>
      </c>
      <c r="L94" s="3">
        <f t="shared" si="52"/>
        <v>34131.843759853204</v>
      </c>
    </row>
    <row r="95" spans="1:16" x14ac:dyDescent="0.25">
      <c r="A95" t="s">
        <v>269</v>
      </c>
      <c r="B95" s="3">
        <f>+B93*B94/1000</f>
        <v>1596</v>
      </c>
      <c r="C95" s="3">
        <f t="shared" ref="C95:L95" si="53">+C93*C94/1000</f>
        <v>1627.92</v>
      </c>
      <c r="D95" s="3">
        <f t="shared" si="53"/>
        <v>1660.4784000000002</v>
      </c>
      <c r="E95" s="3">
        <f t="shared" si="53"/>
        <v>1693.6879680000002</v>
      </c>
      <c r="F95" s="3">
        <f t="shared" si="53"/>
        <v>1727.5617273600001</v>
      </c>
      <c r="G95" s="3">
        <f t="shared" si="53"/>
        <v>1762.1129619072001</v>
      </c>
      <c r="H95" s="3">
        <f t="shared" si="53"/>
        <v>1797.3552211453439</v>
      </c>
      <c r="I95" s="3">
        <f t="shared" si="53"/>
        <v>1833.302325568251</v>
      </c>
      <c r="J95" s="3">
        <f t="shared" si="53"/>
        <v>1869.9683720796158</v>
      </c>
      <c r="K95" s="3">
        <f t="shared" si="53"/>
        <v>1907.3677395212085</v>
      </c>
      <c r="L95" s="3">
        <f t="shared" si="53"/>
        <v>1945.5150943116328</v>
      </c>
    </row>
    <row r="96" spans="1:16" x14ac:dyDescent="0.25">
      <c r="A96" t="s">
        <v>332</v>
      </c>
      <c r="B96" s="3">
        <v>4910</v>
      </c>
      <c r="C96" s="3">
        <v>4910</v>
      </c>
      <c r="D96" s="3">
        <v>4910</v>
      </c>
      <c r="E96" s="3">
        <v>4910</v>
      </c>
      <c r="F96" s="3">
        <v>4910</v>
      </c>
      <c r="G96" s="3">
        <v>4910</v>
      </c>
      <c r="H96" s="3">
        <v>4910</v>
      </c>
      <c r="I96" s="3">
        <v>4910</v>
      </c>
      <c r="J96" s="3">
        <v>4910</v>
      </c>
      <c r="K96" s="3">
        <v>4910</v>
      </c>
      <c r="L96" s="3">
        <v>4910</v>
      </c>
    </row>
    <row r="97" spans="1:20" x14ac:dyDescent="0.25">
      <c r="A97" t="s">
        <v>330</v>
      </c>
      <c r="B97" s="3">
        <v>615</v>
      </c>
      <c r="C97" s="3">
        <f t="shared" ref="C97:L97" si="54">+B97*(1+$O$93)</f>
        <v>627.29999999999995</v>
      </c>
      <c r="D97" s="3">
        <f t="shared" si="54"/>
        <v>639.846</v>
      </c>
      <c r="E97" s="3">
        <f t="shared" si="54"/>
        <v>652.64292</v>
      </c>
      <c r="F97" s="3">
        <f t="shared" si="54"/>
        <v>665.69577839999999</v>
      </c>
      <c r="G97" s="3">
        <f t="shared" si="54"/>
        <v>679.00969396799997</v>
      </c>
      <c r="H97" s="3">
        <f t="shared" si="54"/>
        <v>692.58988784735993</v>
      </c>
      <c r="I97" s="3">
        <f t="shared" si="54"/>
        <v>706.44168560430717</v>
      </c>
      <c r="J97" s="3">
        <f t="shared" si="54"/>
        <v>720.5705193163933</v>
      </c>
      <c r="K97" s="3">
        <f t="shared" si="54"/>
        <v>734.98192970272123</v>
      </c>
      <c r="L97" s="3">
        <f t="shared" si="54"/>
        <v>749.68156829677571</v>
      </c>
      <c r="N97" t="s">
        <v>333</v>
      </c>
      <c r="O97" t="s">
        <v>227</v>
      </c>
      <c r="P97">
        <f>25*B3</f>
        <v>615</v>
      </c>
    </row>
    <row r="98" spans="1:20" x14ac:dyDescent="0.25">
      <c r="A98" t="s">
        <v>269</v>
      </c>
      <c r="B98" s="3">
        <f>+B96*B97/1000</f>
        <v>3019.65</v>
      </c>
      <c r="C98" s="3">
        <f t="shared" ref="C98:L98" si="55">+C96*C97/1000</f>
        <v>3080.0430000000001</v>
      </c>
      <c r="D98" s="3">
        <f>+D96*D97/1000</f>
        <v>3141.6438599999997</v>
      </c>
      <c r="E98" s="3">
        <f t="shared" si="55"/>
        <v>3204.4767371999997</v>
      </c>
      <c r="F98" s="3">
        <f t="shared" si="55"/>
        <v>3268.5662719439997</v>
      </c>
      <c r="G98" s="3">
        <f t="shared" si="55"/>
        <v>3333.9375973828796</v>
      </c>
      <c r="H98" s="3">
        <f t="shared" si="55"/>
        <v>3400.6163493305376</v>
      </c>
      <c r="I98" s="3">
        <f t="shared" si="55"/>
        <v>3468.6286763171483</v>
      </c>
      <c r="J98" s="3">
        <f t="shared" si="55"/>
        <v>3538.0012498434912</v>
      </c>
      <c r="K98" s="3">
        <f t="shared" si="55"/>
        <v>3608.7612748403612</v>
      </c>
      <c r="L98" s="3">
        <f t="shared" si="55"/>
        <v>3680.9365003371686</v>
      </c>
    </row>
    <row r="99" spans="1:20" x14ac:dyDescent="0.25">
      <c r="A99" t="s">
        <v>328</v>
      </c>
      <c r="B99" s="3">
        <f>22695-B95-B98</f>
        <v>18079.349999999999</v>
      </c>
      <c r="C99" s="3">
        <f>21680-C95-C98</f>
        <v>16972.037</v>
      </c>
      <c r="D99" s="3">
        <f t="shared" ref="D99:L99" si="56">+C99*(1+$O$93)</f>
        <v>17311.477740000002</v>
      </c>
      <c r="E99" s="3">
        <f t="shared" si="56"/>
        <v>17657.707294800002</v>
      </c>
      <c r="F99" s="3">
        <f t="shared" si="56"/>
        <v>18010.861440696004</v>
      </c>
      <c r="G99" s="3">
        <f t="shared" si="56"/>
        <v>18371.078669509923</v>
      </c>
      <c r="H99" s="3">
        <f t="shared" si="56"/>
        <v>18738.500242900122</v>
      </c>
      <c r="I99" s="3">
        <f t="shared" si="56"/>
        <v>19113.270247758126</v>
      </c>
      <c r="J99" s="3">
        <f t="shared" si="56"/>
        <v>19495.53565271329</v>
      </c>
      <c r="K99" s="3">
        <f t="shared" si="56"/>
        <v>19885.446365767555</v>
      </c>
      <c r="L99" s="3">
        <f t="shared" si="56"/>
        <v>20283.155293082906</v>
      </c>
    </row>
    <row r="101" spans="1:20" x14ac:dyDescent="0.25">
      <c r="A101" s="1" t="s">
        <v>337</v>
      </c>
      <c r="B101">
        <v>2015</v>
      </c>
      <c r="C101">
        <v>2016</v>
      </c>
      <c r="D101">
        <v>2017</v>
      </c>
      <c r="E101">
        <v>2018</v>
      </c>
      <c r="F101">
        <v>2019</v>
      </c>
      <c r="G101">
        <v>2020</v>
      </c>
      <c r="H101">
        <v>2021</v>
      </c>
      <c r="I101">
        <v>2022</v>
      </c>
      <c r="J101">
        <v>2023</v>
      </c>
      <c r="K101">
        <v>2024</v>
      </c>
      <c r="L101">
        <v>2025</v>
      </c>
      <c r="N101" s="1" t="s">
        <v>208</v>
      </c>
    </row>
    <row r="102" spans="1:20" x14ac:dyDescent="0.25">
      <c r="A102" t="s">
        <v>338</v>
      </c>
      <c r="B102">
        <v>12</v>
      </c>
      <c r="C102">
        <v>5</v>
      </c>
      <c r="D102">
        <v>7</v>
      </c>
      <c r="E102">
        <v>7</v>
      </c>
      <c r="F102">
        <v>7</v>
      </c>
      <c r="G102">
        <v>7</v>
      </c>
      <c r="H102">
        <v>7</v>
      </c>
      <c r="I102">
        <v>7</v>
      </c>
      <c r="J102">
        <v>7</v>
      </c>
      <c r="K102">
        <v>7</v>
      </c>
      <c r="L102">
        <v>7</v>
      </c>
      <c r="O102" s="17" t="s">
        <v>204</v>
      </c>
      <c r="P102" s="17">
        <v>2017</v>
      </c>
      <c r="Q102" s="17">
        <v>2018</v>
      </c>
      <c r="R102" s="17">
        <v>2019</v>
      </c>
      <c r="S102" s="17">
        <v>2020</v>
      </c>
      <c r="T102" s="17" t="s">
        <v>205</v>
      </c>
    </row>
    <row r="103" spans="1:20" x14ac:dyDescent="0.25">
      <c r="A103" t="s">
        <v>339</v>
      </c>
      <c r="B103">
        <v>1252</v>
      </c>
      <c r="C103">
        <v>518</v>
      </c>
      <c r="D103">
        <v>1155</v>
      </c>
      <c r="E103">
        <v>1155</v>
      </c>
      <c r="F103">
        <v>1155</v>
      </c>
      <c r="G103">
        <v>1155</v>
      </c>
      <c r="H103">
        <v>1155</v>
      </c>
      <c r="I103">
        <v>1155</v>
      </c>
      <c r="J103">
        <v>1155</v>
      </c>
      <c r="K103">
        <v>1155</v>
      </c>
      <c r="L103">
        <v>1155</v>
      </c>
      <c r="N103" t="s">
        <v>203</v>
      </c>
      <c r="O103">
        <v>4200</v>
      </c>
      <c r="P103">
        <v>6300</v>
      </c>
      <c r="Q103">
        <v>8400</v>
      </c>
      <c r="R103">
        <v>10500</v>
      </c>
      <c r="S103">
        <v>12600</v>
      </c>
      <c r="T103">
        <v>14700</v>
      </c>
    </row>
    <row r="104" spans="1:20" x14ac:dyDescent="0.25">
      <c r="A104" t="s">
        <v>340</v>
      </c>
      <c r="B104">
        <v>295</v>
      </c>
      <c r="C104">
        <v>114</v>
      </c>
      <c r="D104">
        <v>331</v>
      </c>
      <c r="E104">
        <v>331</v>
      </c>
      <c r="F104">
        <v>331</v>
      </c>
      <c r="G104">
        <v>331</v>
      </c>
      <c r="H104">
        <v>331</v>
      </c>
      <c r="I104">
        <v>331</v>
      </c>
      <c r="J104">
        <v>331</v>
      </c>
      <c r="K104">
        <v>331</v>
      </c>
      <c r="L104">
        <v>331</v>
      </c>
      <c r="N104" t="s">
        <v>171</v>
      </c>
      <c r="O104">
        <v>1350</v>
      </c>
      <c r="P104">
        <v>2100</v>
      </c>
      <c r="Q104">
        <v>2800</v>
      </c>
      <c r="R104">
        <v>3500</v>
      </c>
      <c r="S104">
        <v>4200</v>
      </c>
      <c r="T104">
        <v>4900</v>
      </c>
    </row>
    <row r="105" spans="1:20" x14ac:dyDescent="0.25">
      <c r="A105" t="s">
        <v>341</v>
      </c>
      <c r="B105" s="3">
        <f>+B102*O103/1000</f>
        <v>50.4</v>
      </c>
      <c r="C105" s="3">
        <f t="shared" ref="C105:H107" si="57">+C102*O103/1000</f>
        <v>21</v>
      </c>
      <c r="D105" s="3">
        <f t="shared" si="57"/>
        <v>44.1</v>
      </c>
      <c r="E105" s="3">
        <f t="shared" si="57"/>
        <v>58.8</v>
      </c>
      <c r="F105" s="3">
        <f t="shared" si="57"/>
        <v>73.5</v>
      </c>
      <c r="G105" s="3">
        <f t="shared" si="57"/>
        <v>88.2</v>
      </c>
      <c r="H105" s="3">
        <f t="shared" si="57"/>
        <v>102.9</v>
      </c>
      <c r="I105" s="3">
        <f>+I102*$T$103/1000</f>
        <v>102.9</v>
      </c>
      <c r="J105" s="3">
        <f t="shared" ref="J105:L105" si="58">+J102*$T$103/1000</f>
        <v>102.9</v>
      </c>
      <c r="K105" s="3">
        <f t="shared" si="58"/>
        <v>102.9</v>
      </c>
      <c r="L105" s="3">
        <f t="shared" si="58"/>
        <v>102.9</v>
      </c>
      <c r="N105" t="s">
        <v>172</v>
      </c>
      <c r="O105">
        <v>1100</v>
      </c>
      <c r="P105">
        <v>1700</v>
      </c>
      <c r="Q105">
        <v>2200</v>
      </c>
      <c r="R105">
        <v>2800</v>
      </c>
      <c r="S105">
        <v>3300</v>
      </c>
      <c r="T105">
        <v>3900</v>
      </c>
    </row>
    <row r="106" spans="1:20" x14ac:dyDescent="0.25">
      <c r="A106" t="s">
        <v>342</v>
      </c>
      <c r="B106" s="3">
        <f>+B103*O104/1000</f>
        <v>1690.2</v>
      </c>
      <c r="C106" s="3">
        <f t="shared" si="57"/>
        <v>699.3</v>
      </c>
      <c r="D106" s="3">
        <f t="shared" si="57"/>
        <v>2425.5</v>
      </c>
      <c r="E106" s="3">
        <f t="shared" si="57"/>
        <v>3234</v>
      </c>
      <c r="F106" s="3">
        <f t="shared" si="57"/>
        <v>4042.5</v>
      </c>
      <c r="G106" s="3">
        <f t="shared" si="57"/>
        <v>4851</v>
      </c>
      <c r="H106" s="3">
        <f t="shared" si="57"/>
        <v>5659.5</v>
      </c>
      <c r="I106" s="3">
        <f>+I103*$T$104/1000</f>
        <v>5659.5</v>
      </c>
      <c r="J106" s="3">
        <f t="shared" ref="J106:L106" si="59">+J103*$T$104/1000</f>
        <v>5659.5</v>
      </c>
      <c r="K106" s="3">
        <f t="shared" si="59"/>
        <v>5659.5</v>
      </c>
      <c r="L106" s="3">
        <f t="shared" si="59"/>
        <v>5659.5</v>
      </c>
    </row>
    <row r="107" spans="1:20" x14ac:dyDescent="0.25">
      <c r="A107" t="s">
        <v>343</v>
      </c>
      <c r="B107" s="3">
        <f>+B104*O105/1000</f>
        <v>324.5</v>
      </c>
      <c r="C107" s="3">
        <f t="shared" si="57"/>
        <v>125.4</v>
      </c>
      <c r="D107" s="3">
        <f t="shared" si="57"/>
        <v>562.70000000000005</v>
      </c>
      <c r="E107" s="3">
        <f t="shared" si="57"/>
        <v>728.2</v>
      </c>
      <c r="F107" s="3">
        <f t="shared" si="57"/>
        <v>926.8</v>
      </c>
      <c r="G107" s="3">
        <f t="shared" si="57"/>
        <v>1092.3</v>
      </c>
      <c r="H107" s="3">
        <f t="shared" si="57"/>
        <v>1290.9000000000001</v>
      </c>
      <c r="I107" s="3">
        <f>+I104*$T$105/1000</f>
        <v>1290.9000000000001</v>
      </c>
      <c r="J107" s="3">
        <f t="shared" ref="J107:L107" si="60">+J104*$T$105/1000</f>
        <v>1290.9000000000001</v>
      </c>
      <c r="K107" s="3">
        <f t="shared" si="60"/>
        <v>1290.9000000000001</v>
      </c>
      <c r="L107" s="3">
        <f t="shared" si="60"/>
        <v>1290.9000000000001</v>
      </c>
    </row>
    <row r="109" spans="1:20" x14ac:dyDescent="0.25">
      <c r="A109" s="1" t="s">
        <v>104</v>
      </c>
      <c r="B109">
        <v>2015</v>
      </c>
      <c r="C109">
        <v>2016</v>
      </c>
      <c r="D109">
        <v>2017</v>
      </c>
      <c r="E109">
        <v>2018</v>
      </c>
      <c r="F109">
        <v>2019</v>
      </c>
      <c r="G109">
        <v>2020</v>
      </c>
      <c r="H109">
        <v>2021</v>
      </c>
      <c r="I109">
        <v>2022</v>
      </c>
      <c r="J109">
        <v>2023</v>
      </c>
      <c r="K109">
        <v>2024</v>
      </c>
      <c r="L109">
        <v>2025</v>
      </c>
    </row>
    <row r="110" spans="1:20" x14ac:dyDescent="0.25">
      <c r="A110" t="s">
        <v>346</v>
      </c>
      <c r="B110" s="3">
        <v>13142</v>
      </c>
      <c r="C110" s="3">
        <v>11262</v>
      </c>
      <c r="D110" s="3">
        <f t="shared" ref="D110:L110" si="61">+C110*(1+$P$110)</f>
        <v>11487.24</v>
      </c>
      <c r="E110" s="3">
        <f t="shared" si="61"/>
        <v>11716.9848</v>
      </c>
      <c r="F110" s="3">
        <f t="shared" si="61"/>
        <v>11951.324496000001</v>
      </c>
      <c r="G110" s="3">
        <f t="shared" si="61"/>
        <v>12190.350985920002</v>
      </c>
      <c r="H110" s="3">
        <f t="shared" si="61"/>
        <v>12434.158005638403</v>
      </c>
      <c r="I110" s="3">
        <f t="shared" si="61"/>
        <v>12682.841165751172</v>
      </c>
      <c r="J110" s="3">
        <f t="shared" si="61"/>
        <v>12936.497989066194</v>
      </c>
      <c r="K110" s="3">
        <f t="shared" si="61"/>
        <v>13195.227948847518</v>
      </c>
      <c r="L110" s="3">
        <f t="shared" si="61"/>
        <v>13459.132507824468</v>
      </c>
      <c r="N110" t="s">
        <v>345</v>
      </c>
      <c r="P110">
        <v>0.02</v>
      </c>
    </row>
    <row r="112" spans="1:20" x14ac:dyDescent="0.25">
      <c r="A112" s="1" t="s">
        <v>350</v>
      </c>
    </row>
    <row r="113" spans="1:27" x14ac:dyDescent="0.25">
      <c r="B113">
        <v>2015</v>
      </c>
      <c r="C113">
        <v>2016</v>
      </c>
      <c r="D113">
        <v>2017</v>
      </c>
      <c r="E113">
        <v>2018</v>
      </c>
      <c r="F113">
        <v>2019</v>
      </c>
      <c r="G113">
        <v>2020</v>
      </c>
      <c r="H113">
        <v>2021</v>
      </c>
      <c r="I113">
        <v>2022</v>
      </c>
      <c r="J113">
        <v>2023</v>
      </c>
      <c r="K113">
        <v>2024</v>
      </c>
      <c r="L113">
        <v>2025</v>
      </c>
    </row>
    <row r="114" spans="1:27" x14ac:dyDescent="0.25">
      <c r="A114" t="s">
        <v>357</v>
      </c>
      <c r="B114" s="3">
        <v>209150</v>
      </c>
      <c r="C114" s="3">
        <v>179150</v>
      </c>
      <c r="D114" s="3">
        <f>+C114-D115</f>
        <v>154150</v>
      </c>
      <c r="E114" s="3">
        <f>+D114-E115</f>
        <v>129150</v>
      </c>
      <c r="F114" s="3">
        <f>+E114-F115</f>
        <v>99150</v>
      </c>
      <c r="G114" s="3">
        <f>+F114-G115</f>
        <v>69150</v>
      </c>
      <c r="H114" s="3">
        <f>+G114-H115</f>
        <v>39150</v>
      </c>
      <c r="I114" s="3">
        <f>+H114-H115</f>
        <v>9150</v>
      </c>
      <c r="J114" s="3">
        <f t="shared" ref="J114:L114" si="62">+I114-I115</f>
        <v>0</v>
      </c>
      <c r="K114" s="3">
        <f t="shared" si="62"/>
        <v>0</v>
      </c>
      <c r="L114" s="3">
        <f t="shared" si="62"/>
        <v>0</v>
      </c>
      <c r="V114" s="3"/>
      <c r="W114" s="3"/>
      <c r="X114" s="3"/>
      <c r="Y114" s="3"/>
      <c r="Z114" s="3"/>
      <c r="AA114" s="3"/>
    </row>
    <row r="115" spans="1:27" x14ac:dyDescent="0.25">
      <c r="A115" t="s">
        <v>351</v>
      </c>
      <c r="B115" s="3"/>
      <c r="C115" s="3">
        <v>22500</v>
      </c>
      <c r="D115" s="3">
        <v>25000</v>
      </c>
      <c r="E115" s="3">
        <v>25000</v>
      </c>
      <c r="F115" s="3">
        <v>30000</v>
      </c>
      <c r="G115" s="3">
        <v>30000</v>
      </c>
      <c r="H115" s="3">
        <v>30000</v>
      </c>
      <c r="I115" s="3">
        <f>+I114</f>
        <v>9150</v>
      </c>
      <c r="V115" s="36"/>
      <c r="W115" s="36"/>
      <c r="X115" s="36"/>
      <c r="Y115" s="36"/>
      <c r="Z115" s="36"/>
      <c r="AA115" s="36"/>
    </row>
    <row r="116" spans="1:27" x14ac:dyDescent="0.25">
      <c r="A116" t="s">
        <v>355</v>
      </c>
      <c r="B116">
        <v>1.2E-2</v>
      </c>
      <c r="C116">
        <v>1.2E-2</v>
      </c>
      <c r="D116">
        <v>1.2E-2</v>
      </c>
      <c r="E116">
        <v>1.2E-2</v>
      </c>
      <c r="F116">
        <v>1.2E-2</v>
      </c>
      <c r="G116">
        <v>1.2E-2</v>
      </c>
      <c r="H116">
        <v>1.2E-2</v>
      </c>
      <c r="I116">
        <v>1.2E-2</v>
      </c>
      <c r="N116" t="s">
        <v>367</v>
      </c>
      <c r="V116" s="36"/>
      <c r="W116" s="36"/>
      <c r="X116" s="36"/>
      <c r="Y116" s="36"/>
      <c r="Z116" s="36"/>
      <c r="AA116" s="36"/>
    </row>
    <row r="117" spans="1:27" x14ac:dyDescent="0.25">
      <c r="A117" t="s">
        <v>354</v>
      </c>
      <c r="B117">
        <v>3.3E-3</v>
      </c>
      <c r="C117">
        <v>2.8999999999999998E-3</v>
      </c>
      <c r="D117">
        <v>2.8E-3</v>
      </c>
      <c r="E117">
        <v>1.6999999999999999E-3</v>
      </c>
      <c r="F117">
        <v>1.6999999999999999E-3</v>
      </c>
      <c r="G117">
        <v>1.6999999999999999E-3</v>
      </c>
      <c r="H117">
        <v>1.6999999999999999E-3</v>
      </c>
      <c r="I117">
        <v>1.6999999999999999E-3</v>
      </c>
      <c r="N117" t="s">
        <v>353</v>
      </c>
      <c r="V117" s="3"/>
      <c r="W117" s="3"/>
      <c r="X117" s="3"/>
      <c r="Y117" s="3"/>
      <c r="Z117" s="3"/>
      <c r="AA117" s="3"/>
    </row>
    <row r="118" spans="1:27" x14ac:dyDescent="0.25">
      <c r="A118" t="s">
        <v>356</v>
      </c>
      <c r="B118">
        <f t="shared" ref="B118:C118" si="63">+B117+B116</f>
        <v>1.5300000000000001E-2</v>
      </c>
      <c r="C118">
        <f t="shared" si="63"/>
        <v>1.49E-2</v>
      </c>
      <c r="D118">
        <f>+D117+D116</f>
        <v>1.4800000000000001E-2</v>
      </c>
      <c r="E118">
        <f t="shared" ref="E118:I118" si="64">+E117+E116</f>
        <v>1.37E-2</v>
      </c>
      <c r="F118">
        <f t="shared" si="64"/>
        <v>1.37E-2</v>
      </c>
      <c r="G118">
        <f t="shared" si="64"/>
        <v>1.37E-2</v>
      </c>
      <c r="H118">
        <f t="shared" si="64"/>
        <v>1.37E-2</v>
      </c>
      <c r="I118">
        <f t="shared" si="64"/>
        <v>1.37E-2</v>
      </c>
    </row>
    <row r="119" spans="1:27" x14ac:dyDescent="0.25">
      <c r="A119" t="s">
        <v>352</v>
      </c>
      <c r="B119" s="3">
        <f t="shared" ref="B119:L119" si="65">+B114*B118</f>
        <v>3199.9950000000003</v>
      </c>
      <c r="C119" s="3">
        <f t="shared" si="65"/>
        <v>2669.335</v>
      </c>
      <c r="D119" s="3">
        <f t="shared" si="65"/>
        <v>2281.42</v>
      </c>
      <c r="E119" s="3">
        <f t="shared" si="65"/>
        <v>1769.355</v>
      </c>
      <c r="F119" s="3">
        <f t="shared" si="65"/>
        <v>1358.355</v>
      </c>
      <c r="G119" s="3">
        <f t="shared" si="65"/>
        <v>947.35500000000002</v>
      </c>
      <c r="H119" s="3">
        <f t="shared" si="65"/>
        <v>536.35500000000002</v>
      </c>
      <c r="I119" s="3">
        <f t="shared" si="65"/>
        <v>125.355</v>
      </c>
      <c r="J119" s="3">
        <f t="shared" si="65"/>
        <v>0</v>
      </c>
      <c r="K119" s="3">
        <f t="shared" si="65"/>
        <v>0</v>
      </c>
      <c r="L119" s="3">
        <f t="shared" si="65"/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8" zoomScaleNormal="100" workbookViewId="0">
      <selection activeCell="D53" sqref="D53"/>
    </sheetView>
  </sheetViews>
  <sheetFormatPr defaultRowHeight="15" x14ac:dyDescent="0.25"/>
  <cols>
    <col min="1" max="1" width="46.28515625" bestFit="1" customWidth="1"/>
    <col min="2" max="2" width="10.7109375" style="3" bestFit="1" customWidth="1"/>
    <col min="3" max="3" width="11.42578125" bestFit="1" customWidth="1"/>
    <col min="4" max="4" width="12.42578125" bestFit="1" customWidth="1"/>
    <col min="13" max="13" width="11.42578125" bestFit="1" customWidth="1"/>
  </cols>
  <sheetData>
    <row r="1" spans="1:13" x14ac:dyDescent="0.25">
      <c r="A1" s="1" t="s">
        <v>236</v>
      </c>
    </row>
    <row r="2" spans="1:13" x14ac:dyDescent="0.25">
      <c r="B2" s="20"/>
      <c r="C2" s="21"/>
      <c r="D2" s="21"/>
      <c r="E2" s="20"/>
      <c r="F2" s="21"/>
      <c r="G2" s="21"/>
      <c r="H2" s="20"/>
      <c r="I2" s="21"/>
    </row>
    <row r="3" spans="1:13" x14ac:dyDescent="0.25">
      <c r="B3" s="19">
        <v>2015</v>
      </c>
      <c r="C3" s="19">
        <v>2016</v>
      </c>
      <c r="D3" s="19">
        <v>2017</v>
      </c>
      <c r="E3" s="19">
        <v>2018</v>
      </c>
      <c r="F3" s="19">
        <v>2019</v>
      </c>
      <c r="G3" s="19">
        <v>2020</v>
      </c>
      <c r="H3" s="19">
        <v>2021</v>
      </c>
      <c r="I3" s="19">
        <v>2022</v>
      </c>
      <c r="J3" s="19">
        <v>2023</v>
      </c>
      <c r="K3" s="19">
        <v>2024</v>
      </c>
      <c r="L3" s="19">
        <v>2025</v>
      </c>
      <c r="M3" t="s">
        <v>392</v>
      </c>
    </row>
    <row r="4" spans="1:13" x14ac:dyDescent="0.25">
      <c r="A4" t="s">
        <v>63</v>
      </c>
      <c r="B4" s="3">
        <f>+Rozbor!D2</f>
        <v>273655</v>
      </c>
      <c r="C4" s="3">
        <f>+Rozbor!D6</f>
        <v>255975</v>
      </c>
      <c r="D4" s="3">
        <f>'Vývoj cen alt. scn.'!D71</f>
        <v>308595.4351089829</v>
      </c>
      <c r="E4" s="3">
        <f>'Vývoj cen alt. scn.'!E71</f>
        <v>319281.0817130811</v>
      </c>
      <c r="F4" s="3">
        <f>'Vývoj cen alt. scn.'!F71</f>
        <v>330336.73717135226</v>
      </c>
      <c r="G4" s="3">
        <f>'Vývoj cen alt. scn.'!G71</f>
        <v>341775.21367544361</v>
      </c>
      <c r="H4" s="3">
        <f>'Vývoj cen alt. scn.'!H71</f>
        <v>353609.76706112857</v>
      </c>
      <c r="I4" s="3">
        <f>'Vývoj cen alt. scn.'!I71</f>
        <v>365854.1121702462</v>
      </c>
      <c r="J4" s="3">
        <f>'Vývoj cen alt. scn.'!J71</f>
        <v>378522.43874457391</v>
      </c>
      <c r="K4" s="3">
        <f>'Vývoj cen alt. scn.'!K71</f>
        <v>391629.42787005292</v>
      </c>
      <c r="L4" s="3">
        <f>'Vývoj cen alt. scn.'!L71</f>
        <v>405190.26899042359</v>
      </c>
      <c r="M4" s="3">
        <f>+L4</f>
        <v>405190.26899042359</v>
      </c>
    </row>
    <row r="5" spans="1:13" x14ac:dyDescent="0.25">
      <c r="A5" t="s">
        <v>65</v>
      </c>
      <c r="B5" s="3">
        <f>+Rozbor!D3</f>
        <v>86376</v>
      </c>
      <c r="C5" s="3">
        <f>+Rozbor!D7</f>
        <v>25563</v>
      </c>
      <c r="D5" s="3">
        <f>+'Vývoj cen alt. scn.'!D77</f>
        <v>74068.604651162794</v>
      </c>
      <c r="E5" s="3">
        <f>+'Vývoj cen alt. scn.'!E77</f>
        <v>64792.24560848235</v>
      </c>
      <c r="F5" s="3">
        <f>+'Vývoj cen alt. scn.'!F77</f>
        <v>60574.226934641556</v>
      </c>
      <c r="G5" s="3">
        <f>+'Vývoj cen alt. scn.'!G77</f>
        <v>61476.78291596772</v>
      </c>
      <c r="H5" s="3">
        <f>+'Vývoj cen alt. scn.'!H77</f>
        <v>62392.786981415644</v>
      </c>
      <c r="I5" s="3">
        <f>+'Vývoj cen alt. scn.'!I77</f>
        <v>63322.439507438743</v>
      </c>
      <c r="J5" s="3">
        <f>+'Vývoj cen alt. scn.'!J77</f>
        <v>64265.943856099584</v>
      </c>
      <c r="K5" s="3">
        <f>+'Vývoj cen alt. scn.'!K77</f>
        <v>65223.506419555466</v>
      </c>
      <c r="L5" s="3">
        <f>+'Vývoj cen alt. scn.'!L77</f>
        <v>66195.336665206851</v>
      </c>
      <c r="M5" s="3">
        <f t="shared" ref="M5:M22" si="0">+L5</f>
        <v>66195.336665206851</v>
      </c>
    </row>
    <row r="6" spans="1:13" x14ac:dyDescent="0.25">
      <c r="A6" t="s">
        <v>380</v>
      </c>
      <c r="C6" s="3"/>
      <c r="D6" s="3">
        <f>+'Vývoj cen alt. scn.'!D79</f>
        <v>7272.2</v>
      </c>
      <c r="E6" s="3">
        <f>+'Vývoj cen alt. scn.'!E79</f>
        <v>7272.2</v>
      </c>
      <c r="F6" s="3">
        <f>+'Vývoj cen alt. scn.'!F79</f>
        <v>7272.2</v>
      </c>
      <c r="G6" s="3">
        <f>+'Vývoj cen alt. scn.'!G79</f>
        <v>7272.2</v>
      </c>
      <c r="H6" s="3">
        <f>+'Vývoj cen alt. scn.'!H79</f>
        <v>7272.2</v>
      </c>
      <c r="I6" s="3">
        <f>+'Vývoj cen alt. scn.'!I79</f>
        <v>7272.2</v>
      </c>
      <c r="J6" s="3">
        <f>+'Vývoj cen alt. scn.'!J79</f>
        <v>7272.2</v>
      </c>
      <c r="K6" s="3">
        <f>+'Vývoj cen alt. scn.'!K79</f>
        <v>7272.2</v>
      </c>
      <c r="L6" s="3">
        <f>+'Vývoj cen alt. scn.'!L79</f>
        <v>7272.2</v>
      </c>
      <c r="M6" s="3">
        <f t="shared" si="0"/>
        <v>7272.2</v>
      </c>
    </row>
    <row r="7" spans="1:13" x14ac:dyDescent="0.25">
      <c r="A7" t="s">
        <v>141</v>
      </c>
      <c r="B7" s="3">
        <f>-'Vývoj cen realistický'!B93</f>
        <v>-1596</v>
      </c>
      <c r="C7" s="3">
        <f>-'Vývoj cen realistický'!C93</f>
        <v>-1627.92</v>
      </c>
      <c r="D7" s="3">
        <f>-'Vývoj cen realistický'!D93</f>
        <v>-1660.4784000000002</v>
      </c>
      <c r="E7" s="3">
        <f>-'Vývoj cen realistický'!E93</f>
        <v>-1693.6879680000002</v>
      </c>
      <c r="F7" s="3">
        <f>-'Vývoj cen realistický'!F93</f>
        <v>-1727.5617273600001</v>
      </c>
      <c r="G7" s="3">
        <f>-'Vývoj cen realistický'!G93</f>
        <v>-1762.1129619072001</v>
      </c>
      <c r="H7" s="3">
        <f>-'Vývoj cen realistický'!H93</f>
        <v>-1797.3552211453439</v>
      </c>
      <c r="I7" s="3">
        <f>-'Vývoj cen realistický'!I93</f>
        <v>-1833.302325568251</v>
      </c>
      <c r="J7" s="3">
        <f>-'Vývoj cen realistický'!J93</f>
        <v>-1869.9683720796158</v>
      </c>
      <c r="K7" s="3">
        <f>-'Vývoj cen realistický'!K93</f>
        <v>-1907.3677395212085</v>
      </c>
      <c r="L7" s="3">
        <f>-'Vývoj cen realistický'!L93</f>
        <v>-1945.5150943116328</v>
      </c>
      <c r="M7" s="3">
        <f t="shared" si="0"/>
        <v>-1945.5150943116328</v>
      </c>
    </row>
    <row r="8" spans="1:13" x14ac:dyDescent="0.25">
      <c r="A8" t="s">
        <v>109</v>
      </c>
      <c r="B8" s="3">
        <f>-'Vývoj cen realistický'!B96</f>
        <v>-3019.65</v>
      </c>
      <c r="C8" s="3">
        <f>-'Vývoj cen realistický'!C96</f>
        <v>-3080.0430000000001</v>
      </c>
      <c r="D8" s="3">
        <f>-'Vývoj cen realistický'!D96</f>
        <v>-3141.6438599999997</v>
      </c>
      <c r="E8" s="3">
        <f>-'Vývoj cen realistický'!E96</f>
        <v>-3204.4767371999997</v>
      </c>
      <c r="F8" s="3">
        <f>-'Vývoj cen realistický'!F96</f>
        <v>-3268.5662719439997</v>
      </c>
      <c r="G8" s="3">
        <f>-'Vývoj cen realistický'!G96</f>
        <v>-3333.9375973828796</v>
      </c>
      <c r="H8" s="3">
        <f>-'Vývoj cen realistický'!H96</f>
        <v>-3400.6163493305376</v>
      </c>
      <c r="I8" s="3">
        <f>-'Vývoj cen realistický'!I96</f>
        <v>-3468.6286763171483</v>
      </c>
      <c r="J8" s="3">
        <f>-'Vývoj cen realistický'!J96</f>
        <v>-3538.0012498434912</v>
      </c>
      <c r="K8" s="3">
        <f>-'Vývoj cen realistický'!K96</f>
        <v>-3608.7612748403612</v>
      </c>
      <c r="L8" s="3">
        <f>-'Vývoj cen realistický'!L96</f>
        <v>-3680.9365003371686</v>
      </c>
      <c r="M8" s="3">
        <f t="shared" si="0"/>
        <v>-3680.9365003371686</v>
      </c>
    </row>
    <row r="9" spans="1:13" x14ac:dyDescent="0.25">
      <c r="A9" t="s">
        <v>328</v>
      </c>
      <c r="B9" s="3">
        <f>-'Vývoj cen realistický'!B97</f>
        <v>-18079.349999999999</v>
      </c>
      <c r="C9" s="3">
        <f>-'Vývoj cen realistický'!C97</f>
        <v>-16972.037</v>
      </c>
      <c r="D9" s="3">
        <f>-'Vývoj cen realistický'!D97</f>
        <v>-17311.477740000002</v>
      </c>
      <c r="E9" s="3">
        <f>-'Vývoj cen realistický'!E97</f>
        <v>-17657.707294800002</v>
      </c>
      <c r="F9" s="3">
        <f>-'Vývoj cen realistický'!F97</f>
        <v>-18010.861440696004</v>
      </c>
      <c r="G9" s="3">
        <f>-'Vývoj cen realistický'!G97</f>
        <v>-18371.078669509923</v>
      </c>
      <c r="H9" s="3">
        <f>-'Vývoj cen realistický'!H97</f>
        <v>-18738.500242900122</v>
      </c>
      <c r="I9" s="3">
        <f>-'Vývoj cen realistický'!I97</f>
        <v>-19113.270247758126</v>
      </c>
      <c r="J9" s="3">
        <f>-'Vývoj cen realistický'!J97</f>
        <v>-19495.53565271329</v>
      </c>
      <c r="K9" s="3">
        <f>-'Vývoj cen realistický'!K97</f>
        <v>-19885.446365767555</v>
      </c>
      <c r="L9" s="3">
        <f>-'Vývoj cen realistický'!L97</f>
        <v>-20283.155293082906</v>
      </c>
      <c r="M9" s="3">
        <f t="shared" si="0"/>
        <v>-20283.155293082906</v>
      </c>
    </row>
    <row r="10" spans="1:13" x14ac:dyDescent="0.25">
      <c r="A10" t="s">
        <v>211</v>
      </c>
      <c r="B10" s="3">
        <f>-Rozbor!D36</f>
        <v>-5399.79198</v>
      </c>
      <c r="C10" s="3">
        <f>-Rozbor!D44</f>
        <v>-2812.0597399999997</v>
      </c>
      <c r="D10" s="3">
        <f>-'Vývoj cen realistický'!D82</f>
        <v>-5399.79198</v>
      </c>
      <c r="E10" s="3">
        <f>-'Vývoj cen alt. scn.'!D84</f>
        <v>-4956.6294200000002</v>
      </c>
      <c r="F10" s="3">
        <f>-'Vývoj cen alt. scn.'!E84</f>
        <v>-5055.7620084</v>
      </c>
      <c r="G10" s="3">
        <f>-'Vývoj cen alt. scn.'!F84</f>
        <v>-5156.8772485680001</v>
      </c>
      <c r="H10" s="3">
        <f>-'Vývoj cen alt. scn.'!G84</f>
        <v>-5260.0147935393597</v>
      </c>
      <c r="I10" s="3">
        <f>-'Vývoj cen alt. scn.'!H84</f>
        <v>-5365.2150894101469</v>
      </c>
      <c r="J10" s="3">
        <f>-'Vývoj cen alt. scn.'!I84</f>
        <v>-5472.5193911983497</v>
      </c>
      <c r="K10" s="3">
        <f>-'Vývoj cen alt. scn.'!J84</f>
        <v>-5581.9697790223172</v>
      </c>
      <c r="L10" s="3">
        <f>-'Vývoj cen alt. scn.'!K84</f>
        <v>-5693.6091746027641</v>
      </c>
      <c r="M10" s="3">
        <f t="shared" si="0"/>
        <v>-5693.6091746027641</v>
      </c>
    </row>
    <row r="11" spans="1:13" x14ac:dyDescent="0.25">
      <c r="A11" t="s">
        <v>212</v>
      </c>
      <c r="B11" s="3">
        <f>-'Vývoj cen realistický'!B85</f>
        <v>-616.27379999999994</v>
      </c>
      <c r="C11" s="3">
        <f>-'Vývoj cen realistický'!C85</f>
        <v>-688.89440000000002</v>
      </c>
      <c r="D11" s="3">
        <f>-'Vývoj cen realistický'!D85</f>
        <v>-652.32885714285715</v>
      </c>
      <c r="E11" s="3">
        <f>-'Vývoj cen realistický'!E85</f>
        <v>-665.37543428571428</v>
      </c>
      <c r="F11" s="3">
        <f>-'Vývoj cen realistický'!F85</f>
        <v>-678.68294297142859</v>
      </c>
      <c r="G11" s="3">
        <f>-'Vývoj cen realistický'!G85</f>
        <v>-692.25660183085722</v>
      </c>
      <c r="H11" s="3">
        <f>-'Vývoj cen realistický'!H85</f>
        <v>-706.10173386747442</v>
      </c>
      <c r="I11" s="3">
        <f>-'Vývoj cen realistický'!I85</f>
        <v>-720.22376854482388</v>
      </c>
      <c r="J11" s="3">
        <f>-'Vývoj cen realistický'!J85</f>
        <v>-734.62824391572042</v>
      </c>
      <c r="K11" s="3">
        <f>-'Vývoj cen realistický'!K85</f>
        <v>-749.32080879403475</v>
      </c>
      <c r="L11" s="3">
        <f>-'Vývoj cen realistický'!L85</f>
        <v>-764.3072249699153</v>
      </c>
      <c r="M11" s="3">
        <f t="shared" si="0"/>
        <v>-764.3072249699153</v>
      </c>
    </row>
    <row r="12" spans="1:13" x14ac:dyDescent="0.25">
      <c r="A12" t="s">
        <v>107</v>
      </c>
      <c r="B12" s="3">
        <f>-'Vývoj cen realistický'!B17</f>
        <v>-98761.369299363054</v>
      </c>
      <c r="C12" s="3">
        <v>-85063</v>
      </c>
      <c r="D12" s="3">
        <f>-'Vývoj cen alt. scn.'!D20</f>
        <v>-114250.70348189135</v>
      </c>
      <c r="E12" s="3">
        <f>-'Vývoj cen alt. scn.'!E20</f>
        <v>-98472.458352724323</v>
      </c>
      <c r="F12" s="3">
        <f>-'Vývoj cen alt. scn.'!F20</f>
        <v>-96770.140025328234</v>
      </c>
      <c r="G12" s="3">
        <f>-'Vývoj cen alt. scn.'!G20</f>
        <v>-94695.146769424522</v>
      </c>
      <c r="H12" s="3">
        <f>-'Vývoj cen alt. scn.'!H20</f>
        <v>-94569.389602400028</v>
      </c>
      <c r="I12" s="3">
        <f>-'Vývoj cen alt. scn.'!I20</f>
        <v>-94490.791373009764</v>
      </c>
      <c r="J12" s="3">
        <f>-'Vývoj cen alt. scn.'!J20</f>
        <v>-96380.607200469953</v>
      </c>
      <c r="K12" s="3">
        <f>-'Vývoj cen alt. scn.'!K20</f>
        <v>-98308.219344479381</v>
      </c>
      <c r="L12" s="3">
        <f>-'Vývoj cen alt. scn.'!L20</f>
        <v>-100274.38373136897</v>
      </c>
      <c r="M12" s="3">
        <f t="shared" si="0"/>
        <v>-100274.38373136897</v>
      </c>
    </row>
    <row r="13" spans="1:13" x14ac:dyDescent="0.25">
      <c r="A13" t="s">
        <v>228</v>
      </c>
      <c r="B13" s="3">
        <f>-'Vývoj cen realistický'!B21</f>
        <v>-32889.184445362043</v>
      </c>
      <c r="C13" s="3"/>
      <c r="D13" s="3">
        <f>-'Vývoj cen alt. scn.'!D23</f>
        <v>-38893.92728863981</v>
      </c>
      <c r="E13" s="3">
        <f>-'Vývoj cen alt. scn.'!E23</f>
        <v>-39671.805834412611</v>
      </c>
      <c r="F13" s="3">
        <f>-'Vývoj cen alt. scn.'!F23</f>
        <v>-40465.241951100863</v>
      </c>
      <c r="G13" s="3">
        <f>-'Vývoj cen alt. scn.'!G23</f>
        <v>-41274.546790122884</v>
      </c>
      <c r="H13" s="3">
        <f>-'Vývoj cen alt. scn.'!H23</f>
        <v>-42100.037725925344</v>
      </c>
      <c r="I13" s="3">
        <f>-'Vývoj cen alt. scn.'!I23</f>
        <v>-42942.038480443844</v>
      </c>
      <c r="J13" s="3">
        <f>-'Vývoj cen alt. scn.'!J23</f>
        <v>-43800.87925005272</v>
      </c>
      <c r="K13" s="3">
        <f>-'Vývoj cen alt. scn.'!K23</f>
        <v>-44676.896835053776</v>
      </c>
      <c r="L13" s="3">
        <f>-'Vývoj cen alt. scn.'!L23</f>
        <v>-45570.434771754852</v>
      </c>
      <c r="M13" s="3">
        <f t="shared" si="0"/>
        <v>-45570.434771754852</v>
      </c>
    </row>
    <row r="14" spans="1:13" x14ac:dyDescent="0.25">
      <c r="A14" t="s">
        <v>108</v>
      </c>
      <c r="B14" s="3">
        <f>-'Vývoj cen realistický'!B31</f>
        <v>-9518.2287288801799</v>
      </c>
      <c r="C14" s="3"/>
      <c r="D14" s="3">
        <f>-'Vývoj cen alt. scn.'!D35</f>
        <v>-6605.1443680744678</v>
      </c>
      <c r="E14" s="3">
        <f>-'Vývoj cen alt. scn.'!E35</f>
        <v>-6737.2472554359565</v>
      </c>
      <c r="F14" s="3">
        <f>-'Vývoj cen alt. scn.'!F35</f>
        <v>-6871.9922005446751</v>
      </c>
      <c r="G14" s="3">
        <f>-'Vývoj cen alt. scn.'!G35</f>
        <v>-7009.4320445555695</v>
      </c>
      <c r="H14" s="3">
        <f>-'Vývoj cen alt. scn.'!H35</f>
        <v>-7149.6206854466809</v>
      </c>
      <c r="I14" s="3">
        <f>-'Vývoj cen alt. scn.'!I35</f>
        <v>-7292.6130991556138</v>
      </c>
      <c r="J14" s="3">
        <f>-'Vývoj cen alt. scn.'!J35</f>
        <v>-7438.4653611387266</v>
      </c>
      <c r="K14" s="3">
        <f>-'Vývoj cen alt. scn.'!K35</f>
        <v>-7587.2346683615015</v>
      </c>
      <c r="L14" s="3">
        <f>-'Vývoj cen alt. scn.'!L35</f>
        <v>-7738.9793617287323</v>
      </c>
      <c r="M14" s="3">
        <f t="shared" si="0"/>
        <v>-7738.9793617287323</v>
      </c>
    </row>
    <row r="15" spans="1:13" x14ac:dyDescent="0.25">
      <c r="A15" t="s">
        <v>110</v>
      </c>
      <c r="B15" s="3">
        <f>-'Vývoj cen realistický'!B28</f>
        <v>-8059.2</v>
      </c>
      <c r="C15" s="3"/>
      <c r="D15" s="3">
        <f>-'Vývoj cen alt. scn.'!D30</f>
        <v>-8314.8768</v>
      </c>
      <c r="E15" s="3">
        <f>-'Vývoj cen alt. scn.'!E30</f>
        <v>-8481.1743360000019</v>
      </c>
      <c r="F15" s="3">
        <f>-'Vývoj cen alt. scn.'!F30</f>
        <v>-8650.7978227200001</v>
      </c>
      <c r="G15" s="3">
        <f>-'Vývoj cen alt. scn.'!G30</f>
        <v>-8823.813779174403</v>
      </c>
      <c r="H15" s="3">
        <f>-'Vývoj cen alt. scn.'!H30</f>
        <v>-9000.290054757892</v>
      </c>
      <c r="I15" s="3">
        <f>-'Vývoj cen alt. scn.'!I30</f>
        <v>-9180.2958558530499</v>
      </c>
      <c r="J15" s="3">
        <f>-'Vývoj cen alt. scn.'!J30</f>
        <v>-9363.90177297011</v>
      </c>
      <c r="K15" s="3">
        <f>-'Vývoj cen alt. scn.'!K30</f>
        <v>-9551.1798084295133</v>
      </c>
      <c r="L15" s="3">
        <f>-'Vývoj cen alt. scn.'!L30</f>
        <v>-9742.2034045981018</v>
      </c>
      <c r="M15" s="3">
        <f t="shared" si="0"/>
        <v>-9742.2034045981018</v>
      </c>
    </row>
    <row r="16" spans="1:13" x14ac:dyDescent="0.25">
      <c r="A16" t="s">
        <v>111</v>
      </c>
      <c r="B16" s="3">
        <f>-'Vývoj cen realistický'!B39</f>
        <v>-426.03550295857985</v>
      </c>
      <c r="C16" s="3"/>
      <c r="D16" s="3">
        <f>-'Vývoj cen alt. scn.'!D41</f>
        <v>0</v>
      </c>
      <c r="E16" s="3">
        <f>-'Vývoj cen alt. scn.'!E41</f>
        <v>0</v>
      </c>
      <c r="F16" s="3">
        <f>-'Vývoj cen alt. scn.'!F41</f>
        <v>0</v>
      </c>
      <c r="G16" s="3">
        <f>-'Vývoj cen alt. scn.'!G41</f>
        <v>0</v>
      </c>
      <c r="H16" s="3">
        <f>-'Vývoj cen alt. scn.'!H41</f>
        <v>0</v>
      </c>
      <c r="I16" s="3">
        <f>-'Vývoj cen alt. scn.'!I41</f>
        <v>0</v>
      </c>
      <c r="J16" s="3">
        <f>-'Vývoj cen alt. scn.'!J41</f>
        <v>0</v>
      </c>
      <c r="K16" s="3">
        <f>-'Vývoj cen alt. scn.'!K41</f>
        <v>0</v>
      </c>
      <c r="L16" s="3">
        <f>-'Vývoj cen alt. scn.'!L41</f>
        <v>0</v>
      </c>
      <c r="M16" s="3">
        <f t="shared" si="0"/>
        <v>0</v>
      </c>
    </row>
    <row r="17" spans="1:14" x14ac:dyDescent="0.25">
      <c r="A17" s="30" t="s">
        <v>16</v>
      </c>
      <c r="B17" s="3">
        <f>-'Vývoj cen realistický'!B58</f>
        <v>-82829</v>
      </c>
      <c r="C17" s="3">
        <f>-'Vývoj cen realistický'!C58</f>
        <v>-75095</v>
      </c>
      <c r="D17" s="3">
        <f>-'Vývoj cen realistický'!D58</f>
        <v>-76596.899999999994</v>
      </c>
      <c r="E17" s="3">
        <f>-'Vývoj cen realistický'!E58</f>
        <v>-78128.838000000003</v>
      </c>
      <c r="F17" s="3">
        <f>-'Vývoj cen realistický'!F58</f>
        <v>-79691.41476</v>
      </c>
      <c r="G17" s="3">
        <f>-'Vývoj cen realistický'!G58</f>
        <v>-81285.243055200001</v>
      </c>
      <c r="H17" s="3">
        <f>-'Vývoj cen realistický'!H58</f>
        <v>-82910.947916304009</v>
      </c>
      <c r="I17" s="3">
        <f>-'Vývoj cen realistický'!I58</f>
        <v>-84569.166874630086</v>
      </c>
      <c r="J17" s="3">
        <f>-'Vývoj cen realistický'!J58</f>
        <v>-86260.550212122675</v>
      </c>
      <c r="K17" s="3">
        <f>-'Vývoj cen realistický'!K58</f>
        <v>-87985.761216365136</v>
      </c>
      <c r="L17" s="3">
        <f>-'Vývoj cen realistický'!L58</f>
        <v>-89745.476440692422</v>
      </c>
      <c r="M17" s="3">
        <f t="shared" si="0"/>
        <v>-89745.476440692422</v>
      </c>
    </row>
    <row r="18" spans="1:14" x14ac:dyDescent="0.25">
      <c r="A18" s="3" t="str">
        <f>+Rozbor!A70</f>
        <v>nakoupeno EUA</v>
      </c>
      <c r="B18" s="3">
        <f>-'Vývoj cen realistický'!C46</f>
        <v>-10240.36</v>
      </c>
      <c r="C18" s="3">
        <f>-'Vývoj cen realistický'!D46</f>
        <v>-13361.159999999998</v>
      </c>
      <c r="D18" s="3">
        <f>-'Vývoj cen alt. scn.'!E48</f>
        <v>-8707.0560253699787</v>
      </c>
      <c r="E18" s="3">
        <f>-'Vývoj cen alt. scn.'!F48</f>
        <v>-18452.959329007754</v>
      </c>
      <c r="F18" s="3">
        <f>-'Vývoj cen alt. scn.'!G48</f>
        <v>-21108.245395632217</v>
      </c>
      <c r="G18" s="3">
        <f>-'Vývoj cen alt. scn.'!H48</f>
        <v>-23848.536416833656</v>
      </c>
      <c r="H18" s="3">
        <f>-'Vývoj cen alt. scn.'!I48</f>
        <v>-25334.546357965337</v>
      </c>
      <c r="I18" s="3">
        <f>-'Vývoj cen alt. scn.'!J48</f>
        <v>-26845.101467655444</v>
      </c>
      <c r="J18" s="3">
        <f>-'Vývoj cen alt. scn.'!K48</f>
        <v>-28385.503031519012</v>
      </c>
      <c r="K18" s="3">
        <f>-'Vývoj cen alt. scn.'!L48</f>
        <v>-29960.868526256112</v>
      </c>
      <c r="L18" s="3">
        <f>-'Vývoj cen alt. scn.'!M48</f>
        <v>-31576.16557373359</v>
      </c>
      <c r="M18" s="3">
        <f t="shared" si="0"/>
        <v>-31576.16557373359</v>
      </c>
    </row>
    <row r="19" spans="1:14" x14ac:dyDescent="0.25">
      <c r="A19" t="str">
        <f>+Rozbor!A81</f>
        <v>TZL</v>
      </c>
      <c r="B19" s="3">
        <f>-'Vývoj cen realistický'!B103</f>
        <v>-50.4</v>
      </c>
      <c r="C19" s="3">
        <f>-'Vývoj cen realistický'!C103</f>
        <v>-21</v>
      </c>
      <c r="D19" s="3">
        <f>-'Vývoj cen alt. scn.'!D105</f>
        <v>-44.1</v>
      </c>
      <c r="E19" s="3">
        <f>-'Vývoj cen alt. scn.'!E105</f>
        <v>-58.8</v>
      </c>
      <c r="F19" s="3">
        <f>-'Vývoj cen alt. scn.'!F105</f>
        <v>-73.5</v>
      </c>
      <c r="G19" s="3">
        <f>-'Vývoj cen alt. scn.'!G105</f>
        <v>-88.2</v>
      </c>
      <c r="H19" s="3">
        <f>-'Vývoj cen alt. scn.'!H105</f>
        <v>-102.9</v>
      </c>
      <c r="I19" s="3">
        <f>-'Vývoj cen alt. scn.'!I105</f>
        <v>-102.9</v>
      </c>
      <c r="J19" s="3">
        <f>-'Vývoj cen alt. scn.'!J105</f>
        <v>-102.9</v>
      </c>
      <c r="K19" s="3">
        <f>-'Vývoj cen alt. scn.'!K105</f>
        <v>-102.9</v>
      </c>
      <c r="L19" s="3">
        <f>-'Vývoj cen alt. scn.'!L105</f>
        <v>-102.9</v>
      </c>
      <c r="M19" s="3">
        <f t="shared" si="0"/>
        <v>-102.9</v>
      </c>
    </row>
    <row r="20" spans="1:14" x14ac:dyDescent="0.25">
      <c r="A20" t="str">
        <f>+Rozbor!A82</f>
        <v>SO2</v>
      </c>
      <c r="B20" s="3">
        <f>-'Vývoj cen realistický'!B101</f>
        <v>-1252</v>
      </c>
      <c r="C20" s="3">
        <f>-'Vývoj cen realistický'!C101</f>
        <v>-518</v>
      </c>
      <c r="D20" s="3">
        <f>-'Vývoj cen alt. scn.'!D106</f>
        <v>-2425.5</v>
      </c>
      <c r="E20" s="3">
        <f>-'Vývoj cen alt. scn.'!E106</f>
        <v>-3234</v>
      </c>
      <c r="F20" s="3">
        <f>-'Vývoj cen alt. scn.'!F106</f>
        <v>-4042.5</v>
      </c>
      <c r="G20" s="3">
        <f>-'Vývoj cen alt. scn.'!G106</f>
        <v>-4851</v>
      </c>
      <c r="H20" s="3">
        <f>-'Vývoj cen alt. scn.'!H106</f>
        <v>-5659.5</v>
      </c>
      <c r="I20" s="3">
        <f>-'Vývoj cen alt. scn.'!I106</f>
        <v>-5659.5</v>
      </c>
      <c r="J20" s="3">
        <f>-'Vývoj cen alt. scn.'!J106</f>
        <v>-5659.5</v>
      </c>
      <c r="K20" s="3">
        <f>-'Vývoj cen alt. scn.'!K106</f>
        <v>-5659.5</v>
      </c>
      <c r="L20" s="3">
        <f>-'Vývoj cen alt. scn.'!L106</f>
        <v>-5659.5</v>
      </c>
      <c r="M20" s="3">
        <f t="shared" si="0"/>
        <v>-5659.5</v>
      </c>
    </row>
    <row r="21" spans="1:14" x14ac:dyDescent="0.25">
      <c r="A21" t="str">
        <f>+Rozbor!A83</f>
        <v>NOX</v>
      </c>
      <c r="B21" s="3">
        <f>-'Vývoj cen realistický'!B105</f>
        <v>-324.5</v>
      </c>
      <c r="C21" s="3">
        <f>-'Vývoj cen realistický'!C105</f>
        <v>-125.4</v>
      </c>
      <c r="D21" s="3">
        <f>-'Vývoj cen alt. scn.'!D107</f>
        <v>-562.70000000000005</v>
      </c>
      <c r="E21" s="3">
        <f>-'Vývoj cen alt. scn.'!E107</f>
        <v>-728.2</v>
      </c>
      <c r="F21" s="3">
        <f>-'Vývoj cen alt. scn.'!F107</f>
        <v>-926.8</v>
      </c>
      <c r="G21" s="3">
        <f>-'Vývoj cen alt. scn.'!G107</f>
        <v>-1092.3</v>
      </c>
      <c r="H21" s="3">
        <f>-'Vývoj cen alt. scn.'!H107</f>
        <v>-1290.9000000000001</v>
      </c>
      <c r="I21" s="3">
        <f>-'Vývoj cen alt. scn.'!I107</f>
        <v>-1290.9000000000001</v>
      </c>
      <c r="J21" s="3">
        <f>-'Vývoj cen alt. scn.'!J107</f>
        <v>-1290.9000000000001</v>
      </c>
      <c r="K21" s="3">
        <f>-'Vývoj cen alt. scn.'!K107</f>
        <v>-1290.9000000000001</v>
      </c>
      <c r="L21" s="3">
        <f>-'Vývoj cen alt. scn.'!L107</f>
        <v>-1290.9000000000001</v>
      </c>
      <c r="M21" s="3">
        <f t="shared" si="0"/>
        <v>-1290.9000000000001</v>
      </c>
    </row>
    <row r="22" spans="1:14" x14ac:dyDescent="0.25">
      <c r="A22" t="str">
        <f>+Rozbor!A17</f>
        <v>Opravy dodavatelské</v>
      </c>
      <c r="B22" s="3">
        <f>-'Vývoj cen realistický'!B108</f>
        <v>-13142</v>
      </c>
      <c r="C22" s="3">
        <f>-'Vývoj cen realistický'!C108</f>
        <v>-11262</v>
      </c>
      <c r="D22" s="3">
        <f>-'Vývoj cen realistický'!D108</f>
        <v>-11487.24</v>
      </c>
      <c r="E22" s="3">
        <f>-'Vývoj cen realistický'!E108</f>
        <v>-11716.9848</v>
      </c>
      <c r="F22" s="3">
        <f>-'Vývoj cen realistický'!F108</f>
        <v>-11951.324496000001</v>
      </c>
      <c r="G22" s="3">
        <f>-'Vývoj cen realistický'!G108</f>
        <v>-12190.350985920002</v>
      </c>
      <c r="H22" s="3">
        <f>-'Vývoj cen realistický'!H108</f>
        <v>-12434.158005638403</v>
      </c>
      <c r="I22" s="3">
        <f>-'Vývoj cen realistický'!I108</f>
        <v>-12682.841165751172</v>
      </c>
      <c r="J22" s="3">
        <f>-'Vývoj cen realistický'!J108</f>
        <v>-12936.497989066194</v>
      </c>
      <c r="K22" s="3">
        <f>-'Vývoj cen realistický'!K108</f>
        <v>-13195.227948847518</v>
      </c>
      <c r="L22" s="3">
        <f>-'Vývoj cen realistický'!L108</f>
        <v>-13459.132507824468</v>
      </c>
      <c r="M22" s="3">
        <f t="shared" si="0"/>
        <v>-13459.132507824468</v>
      </c>
    </row>
    <row r="23" spans="1:14" x14ac:dyDescent="0.25">
      <c r="A23" s="28" t="s">
        <v>359</v>
      </c>
      <c r="B23" s="29">
        <v>8545</v>
      </c>
      <c r="C23" s="28" t="s">
        <v>331</v>
      </c>
      <c r="D23" s="28"/>
      <c r="E23" s="28"/>
      <c r="F23" s="28"/>
      <c r="G23" s="28"/>
      <c r="H23" s="28"/>
      <c r="I23" s="28"/>
    </row>
    <row r="24" spans="1:14" x14ac:dyDescent="0.25">
      <c r="A24" s="28" t="s">
        <v>360</v>
      </c>
      <c r="B24" s="29">
        <v>-21808</v>
      </c>
      <c r="C24" s="29"/>
      <c r="D24" s="28"/>
      <c r="E24" s="28"/>
      <c r="F24" s="28"/>
      <c r="G24" s="28"/>
      <c r="H24" s="28"/>
      <c r="I24" s="28"/>
    </row>
    <row r="25" spans="1:14" x14ac:dyDescent="0.25">
      <c r="A25" t="s">
        <v>233</v>
      </c>
      <c r="B25" s="3">
        <f>-'Vývoj cen realistický'!B117</f>
        <v>-3199.9950000000003</v>
      </c>
      <c r="C25" s="3">
        <f>-'Vývoj cen realistický'!C117</f>
        <v>-2669.335</v>
      </c>
      <c r="D25" s="3">
        <f>-'Vývoj cen realistický'!D117</f>
        <v>-2281.42</v>
      </c>
      <c r="E25" s="3">
        <f>-'Vývoj cen realistický'!E117</f>
        <v>-1769.355</v>
      </c>
      <c r="F25" s="3">
        <f>-'Vývoj cen realistický'!F117</f>
        <v>-1358.355</v>
      </c>
      <c r="G25" s="3">
        <f>-'Vývoj cen realistický'!G117</f>
        <v>-947.35500000000002</v>
      </c>
      <c r="H25" s="3">
        <f>-'Vývoj cen realistický'!H117</f>
        <v>-536.35500000000002</v>
      </c>
      <c r="I25" s="3">
        <f>-'Vývoj cen realistický'!I117</f>
        <v>-125.355</v>
      </c>
      <c r="J25" s="3">
        <f>-'Vývoj cen realistický'!J117</f>
        <v>0</v>
      </c>
      <c r="K25" s="3">
        <f>-'Vývoj cen realistický'!K117</f>
        <v>0</v>
      </c>
      <c r="L25" s="3">
        <f>-'Vývoj cen realistický'!L117</f>
        <v>0</v>
      </c>
      <c r="M25" s="3">
        <f>+L25</f>
        <v>0</v>
      </c>
    </row>
    <row r="26" spans="1:14" x14ac:dyDescent="0.25">
      <c r="A26" t="s">
        <v>50</v>
      </c>
      <c r="B26" s="3">
        <f>-'Účetní výkazy 2015'!D28</f>
        <v>-2541</v>
      </c>
      <c r="C26" s="3">
        <f>-((B27+B28)*0.19)</f>
        <v>-1903.6556362528659</v>
      </c>
      <c r="D26" s="3">
        <f>-((C27+C28)*0.19)</f>
        <v>-6398.3440925119576</v>
      </c>
      <c r="E26" s="3">
        <f>-((D27+D28)*0.19)</f>
        <v>-9982.5253046378966</v>
      </c>
      <c r="F26" s="3">
        <f>-((E27+E28)*0.19)</f>
        <v>-10083.357428461235</v>
      </c>
      <c r="G26" s="3">
        <f t="shared" ref="G26:L26" si="1">-((F27+F28)*0.19)</f>
        <v>-10409.161520618694</v>
      </c>
      <c r="H26" s="3">
        <f t="shared" si="1"/>
        <v>-11785.670958568917</v>
      </c>
      <c r="I26" s="3">
        <f t="shared" si="1"/>
        <v>-12888.621385003422</v>
      </c>
      <c r="J26" s="3">
        <f t="shared" si="1"/>
        <v>-14290.84750503097</v>
      </c>
      <c r="K26" s="3">
        <f t="shared" si="1"/>
        <v>-15271.511700025007</v>
      </c>
      <c r="L26" s="3">
        <f t="shared" si="1"/>
        <v>-16366.422972030541</v>
      </c>
      <c r="M26" s="3">
        <f>-((L27+L28)*0.19)</f>
        <v>-23705.118884872954</v>
      </c>
    </row>
    <row r="27" spans="1:14" x14ac:dyDescent="0.25">
      <c r="A27" s="1" t="s">
        <v>52</v>
      </c>
      <c r="B27" s="3">
        <f>+SUM(B4:B26)</f>
        <v>54823.661243436138</v>
      </c>
      <c r="C27" s="3">
        <f t="shared" ref="C27:I27" si="2">+SUM(C4:C26)</f>
        <v>66338.495223747144</v>
      </c>
      <c r="D27" s="3">
        <f t="shared" si="2"/>
        <v>85202.606866515242</v>
      </c>
      <c r="E27" s="3">
        <f t="shared" si="2"/>
        <v>85733.302255059127</v>
      </c>
      <c r="F27" s="3">
        <f t="shared" si="2"/>
        <v>87448.06063483523</v>
      </c>
      <c r="G27" s="3">
        <f t="shared" si="2"/>
        <v>94692.847150362722</v>
      </c>
      <c r="H27" s="3">
        <f t="shared" si="2"/>
        <v>100497.84939475486</v>
      </c>
      <c r="I27" s="3">
        <f t="shared" si="2"/>
        <v>107877.98686858405</v>
      </c>
      <c r="J27" s="3">
        <f t="shared" ref="J27:M27" si="3">+SUM(J4:J26)</f>
        <v>113039.37736855267</v>
      </c>
      <c r="K27" s="3">
        <f t="shared" si="3"/>
        <v>118802.06827384495</v>
      </c>
      <c r="L27" s="3">
        <f t="shared" si="3"/>
        <v>124763.78360459449</v>
      </c>
      <c r="M27" s="3">
        <f t="shared" si="3"/>
        <v>117425.08769175208</v>
      </c>
    </row>
    <row r="28" spans="1:14" x14ac:dyDescent="0.25">
      <c r="A28" s="23" t="s">
        <v>282</v>
      </c>
      <c r="B28" s="3">
        <f>-Rozbor!D111</f>
        <v>-44804.42105263158</v>
      </c>
      <c r="C28" s="3">
        <f>-Rozbor!E111</f>
        <v>-32663</v>
      </c>
      <c r="D28" s="3">
        <f>+C28</f>
        <v>-32663</v>
      </c>
      <c r="E28" s="3">
        <f t="shared" ref="E28:K28" si="4">+D28</f>
        <v>-32663</v>
      </c>
      <c r="F28" s="3">
        <f t="shared" si="4"/>
        <v>-32663</v>
      </c>
      <c r="G28" s="3">
        <f t="shared" si="4"/>
        <v>-32663</v>
      </c>
      <c r="H28" s="3">
        <f t="shared" si="4"/>
        <v>-32663</v>
      </c>
      <c r="I28" s="3">
        <f t="shared" si="4"/>
        <v>-32663</v>
      </c>
      <c r="J28" s="3">
        <f t="shared" si="4"/>
        <v>-32663</v>
      </c>
      <c r="K28" s="3">
        <f t="shared" si="4"/>
        <v>-32663</v>
      </c>
      <c r="L28" s="3"/>
      <c r="N28" t="s">
        <v>366</v>
      </c>
    </row>
    <row r="29" spans="1:14" x14ac:dyDescent="0.25">
      <c r="A29" s="18" t="s">
        <v>234</v>
      </c>
      <c r="B29" s="3">
        <v>-30000</v>
      </c>
      <c r="C29" s="3">
        <f>-'Vývoj cen realistický'!C113</f>
        <v>-22500</v>
      </c>
      <c r="D29" s="3">
        <f>-'Vývoj cen realistický'!D113</f>
        <v>-25000</v>
      </c>
      <c r="E29" s="3">
        <f>-'Vývoj cen realistický'!E113</f>
        <v>-25000</v>
      </c>
      <c r="F29" s="3">
        <f>-'Vývoj cen realistický'!F113</f>
        <v>-30000</v>
      </c>
      <c r="G29" s="3">
        <f>-'Vývoj cen realistický'!G113</f>
        <v>-30000</v>
      </c>
      <c r="H29" s="3">
        <f>-'Vývoj cen realistický'!H113</f>
        <v>-30000</v>
      </c>
      <c r="I29" s="3">
        <f>-'Vývoj cen realistický'!I113</f>
        <v>-9150</v>
      </c>
      <c r="J29" s="3">
        <f>-'Vývoj cen realistický'!J113</f>
        <v>0</v>
      </c>
      <c r="K29" s="3">
        <f>-'Vývoj cen realistický'!K113</f>
        <v>0</v>
      </c>
      <c r="L29" s="3">
        <f>-'Vývoj cen realistický'!L113</f>
        <v>0</v>
      </c>
      <c r="M29">
        <v>0</v>
      </c>
    </row>
    <row r="30" spans="1:14" x14ac:dyDescent="0.25">
      <c r="A30" s="18" t="s">
        <v>235</v>
      </c>
      <c r="B30" s="3">
        <v>-56634</v>
      </c>
      <c r="C30">
        <v>-28210</v>
      </c>
      <c r="D30">
        <v>-2000</v>
      </c>
      <c r="E30">
        <v>-2000</v>
      </c>
      <c r="F30">
        <v>-2000</v>
      </c>
      <c r="G30">
        <v>-2000</v>
      </c>
      <c r="H30">
        <v>-2000</v>
      </c>
      <c r="I30">
        <v>-2000</v>
      </c>
      <c r="J30">
        <v>-2000</v>
      </c>
      <c r="K30">
        <v>-2000</v>
      </c>
      <c r="L30">
        <v>-2000</v>
      </c>
      <c r="M30">
        <v>-2000</v>
      </c>
    </row>
    <row r="31" spans="1:14" x14ac:dyDescent="0.25">
      <c r="A31" t="s">
        <v>237</v>
      </c>
      <c r="B31" s="3">
        <f>+B27+B29+B30</f>
        <v>-31810.338756563862</v>
      </c>
      <c r="C31" s="3">
        <f t="shared" ref="C31:M31" si="5">+C27+C29+C30</f>
        <v>15628.495223747144</v>
      </c>
      <c r="D31" s="11">
        <f>+D27+D29+D30</f>
        <v>58202.606866515242</v>
      </c>
      <c r="E31" s="11">
        <f t="shared" si="5"/>
        <v>58733.302255059127</v>
      </c>
      <c r="F31" s="11">
        <f t="shared" si="5"/>
        <v>55448.06063483523</v>
      </c>
      <c r="G31" s="11">
        <f t="shared" si="5"/>
        <v>62692.847150362722</v>
      </c>
      <c r="H31" s="11">
        <f t="shared" si="5"/>
        <v>68497.849394754856</v>
      </c>
      <c r="I31" s="11">
        <f t="shared" si="5"/>
        <v>96727.986868584048</v>
      </c>
      <c r="J31" s="11">
        <f t="shared" si="5"/>
        <v>111039.37736855267</v>
      </c>
      <c r="K31" s="11">
        <f t="shared" si="5"/>
        <v>116802.06827384495</v>
      </c>
      <c r="L31" s="11">
        <f t="shared" si="5"/>
        <v>122763.78360459449</v>
      </c>
      <c r="M31" s="11">
        <f t="shared" si="5"/>
        <v>115425.08769175208</v>
      </c>
    </row>
    <row r="32" spans="1:14" x14ac:dyDescent="0.25"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26" x14ac:dyDescent="0.25">
      <c r="C33" s="3"/>
      <c r="D33" s="34">
        <v>0</v>
      </c>
      <c r="E33" s="34">
        <v>1</v>
      </c>
      <c r="F33" s="34">
        <v>2</v>
      </c>
      <c r="G33" s="34">
        <v>3</v>
      </c>
      <c r="H33" s="34">
        <v>4</v>
      </c>
      <c r="I33" s="34">
        <v>5</v>
      </c>
      <c r="J33" s="34">
        <v>6</v>
      </c>
      <c r="K33" s="34">
        <v>7</v>
      </c>
      <c r="L33" s="34">
        <v>8</v>
      </c>
      <c r="M33" s="11"/>
    </row>
    <row r="34" spans="1:26" x14ac:dyDescent="0.25">
      <c r="C34" s="3"/>
      <c r="D34" s="33">
        <v>2017</v>
      </c>
      <c r="E34" s="33">
        <v>2018</v>
      </c>
      <c r="F34" s="33">
        <v>2019</v>
      </c>
      <c r="G34" s="33">
        <v>2020</v>
      </c>
      <c r="H34" s="33">
        <v>2021</v>
      </c>
      <c r="I34" s="33">
        <v>2022</v>
      </c>
      <c r="J34" s="33">
        <v>2023</v>
      </c>
      <c r="K34" s="33">
        <v>2024</v>
      </c>
      <c r="L34" s="33">
        <v>2025</v>
      </c>
      <c r="M34" s="34" t="s">
        <v>394</v>
      </c>
      <c r="R34" s="33"/>
      <c r="S34" s="33"/>
      <c r="T34" s="33"/>
      <c r="U34" s="33"/>
      <c r="V34" s="33"/>
      <c r="W34" s="33"/>
      <c r="X34" s="33"/>
      <c r="Y34" s="33"/>
      <c r="Z34" s="33"/>
    </row>
    <row r="35" spans="1:26" x14ac:dyDescent="0.25">
      <c r="A35" s="1" t="s">
        <v>395</v>
      </c>
      <c r="D35" s="3">
        <f>+D31</f>
        <v>58202.606866515242</v>
      </c>
      <c r="E35" s="3">
        <f t="shared" ref="E35:L35" si="6">+E31</f>
        <v>58733.302255059127</v>
      </c>
      <c r="F35" s="3">
        <f t="shared" si="6"/>
        <v>55448.06063483523</v>
      </c>
      <c r="G35" s="3">
        <f t="shared" si="6"/>
        <v>62692.847150362722</v>
      </c>
      <c r="H35" s="3">
        <f t="shared" si="6"/>
        <v>68497.849394754856</v>
      </c>
      <c r="I35" s="3">
        <f t="shared" si="6"/>
        <v>96727.986868584048</v>
      </c>
      <c r="J35" s="3">
        <f t="shared" si="6"/>
        <v>111039.37736855267</v>
      </c>
      <c r="K35" s="3">
        <f t="shared" si="6"/>
        <v>116802.06827384495</v>
      </c>
      <c r="L35" s="3">
        <f t="shared" si="6"/>
        <v>122763.78360459449</v>
      </c>
      <c r="M35" s="3">
        <f>+M31</f>
        <v>115425.08769175208</v>
      </c>
      <c r="Q35" s="1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" t="s">
        <v>393</v>
      </c>
      <c r="C36" s="32"/>
      <c r="D36" s="3">
        <f>+D35-D29-D25</f>
        <v>85484.02686651524</v>
      </c>
      <c r="E36" s="3">
        <f t="shared" ref="E36:L36" si="7">+E35-E29-E25</f>
        <v>85502.657255059123</v>
      </c>
      <c r="F36" s="3">
        <f t="shared" si="7"/>
        <v>86806.415634835226</v>
      </c>
      <c r="G36" s="3">
        <f t="shared" si="7"/>
        <v>93640.202150362718</v>
      </c>
      <c r="H36" s="3">
        <f t="shared" si="7"/>
        <v>99034.204394754852</v>
      </c>
      <c r="I36" s="3">
        <f t="shared" si="7"/>
        <v>106003.34186858404</v>
      </c>
      <c r="J36" s="3">
        <f t="shared" si="7"/>
        <v>111039.37736855267</v>
      </c>
      <c r="K36" s="3">
        <f t="shared" si="7"/>
        <v>116802.06827384495</v>
      </c>
      <c r="L36" s="3">
        <f t="shared" si="7"/>
        <v>122763.78360459449</v>
      </c>
      <c r="M36" s="3">
        <f>+M35-M29-M25</f>
        <v>115425.08769175208</v>
      </c>
    </row>
    <row r="37" spans="1:26" x14ac:dyDescent="0.25">
      <c r="A37" s="1"/>
      <c r="C37" s="32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x14ac:dyDescent="0.25">
      <c r="A38" s="1" t="s">
        <v>396</v>
      </c>
      <c r="B38" s="36">
        <v>6.5299999999999997E-2</v>
      </c>
      <c r="D38" s="32"/>
    </row>
    <row r="39" spans="1:26" x14ac:dyDescent="0.25">
      <c r="A39" s="3" t="s">
        <v>397</v>
      </c>
    </row>
    <row r="40" spans="1:26" x14ac:dyDescent="0.25">
      <c r="A40" t="s">
        <v>409</v>
      </c>
      <c r="B40" s="39">
        <v>-0.01</v>
      </c>
    </row>
    <row r="41" spans="1:26" x14ac:dyDescent="0.25">
      <c r="A41" s="1"/>
      <c r="P41" s="39"/>
    </row>
    <row r="42" spans="1:26" x14ac:dyDescent="0.25">
      <c r="A42" s="1" t="s">
        <v>418</v>
      </c>
      <c r="D42" s="3">
        <f>+D36</f>
        <v>85484.02686651524</v>
      </c>
      <c r="E42" s="3">
        <f t="shared" ref="E42:L42" si="8">+E36/((1+$B$38)^E33)</f>
        <v>80261.576321279572</v>
      </c>
      <c r="F42" s="3">
        <f t="shared" si="8"/>
        <v>76490.582792900997</v>
      </c>
      <c r="G42" s="3">
        <f t="shared" si="8"/>
        <v>77454.483373816664</v>
      </c>
      <c r="H42" s="3">
        <f t="shared" si="8"/>
        <v>76894.895112873026</v>
      </c>
      <c r="I42" s="3">
        <f t="shared" si="8"/>
        <v>77260.928304873887</v>
      </c>
      <c r="J42" s="3">
        <f t="shared" si="8"/>
        <v>75970.582399334497</v>
      </c>
      <c r="K42" s="3">
        <f t="shared" si="8"/>
        <v>75014.815244079684</v>
      </c>
      <c r="L42" s="3">
        <f t="shared" si="8"/>
        <v>74010.75743249408</v>
      </c>
      <c r="M42" s="3">
        <f>+(M36)/(B38-B40)</f>
        <v>1532869.6904615152</v>
      </c>
      <c r="P42" s="35"/>
    </row>
    <row r="43" spans="1:26" x14ac:dyDescent="0.25">
      <c r="A43" s="1" t="s">
        <v>412</v>
      </c>
      <c r="B43" s="3">
        <f>+SUM(D42:L42)</f>
        <v>698842.64784816769</v>
      </c>
    </row>
    <row r="44" spans="1:26" x14ac:dyDescent="0.25">
      <c r="A44" s="1" t="s">
        <v>411</v>
      </c>
      <c r="B44" s="3">
        <f>+B43+(M42/(1+B38)^L33)</f>
        <v>1622965.7361506009</v>
      </c>
    </row>
    <row r="45" spans="1:26" x14ac:dyDescent="0.25">
      <c r="A45" s="1" t="s">
        <v>413</v>
      </c>
      <c r="B45" s="3">
        <f>+'Finanční plán'!B43</f>
        <v>149150</v>
      </c>
    </row>
    <row r="46" spans="1:26" x14ac:dyDescent="0.25">
      <c r="A46" s="1" t="s">
        <v>414</v>
      </c>
      <c r="B46" s="3">
        <f>+B44-B45</f>
        <v>1473815.7361506009</v>
      </c>
    </row>
    <row r="47" spans="1:26" x14ac:dyDescent="0.25">
      <c r="A47" s="1" t="s">
        <v>415</v>
      </c>
      <c r="B47">
        <f>+B46/'Finanční plán'!B44</f>
        <v>2.2813447705229426</v>
      </c>
    </row>
    <row r="50" spans="1:13" x14ac:dyDescent="0.25">
      <c r="A50" s="1" t="s">
        <v>400</v>
      </c>
      <c r="B50" s="36">
        <v>9.8199999999999996E-2</v>
      </c>
    </row>
    <row r="51" spans="1:13" x14ac:dyDescent="0.25">
      <c r="A51" s="1"/>
    </row>
    <row r="52" spans="1:13" x14ac:dyDescent="0.25">
      <c r="A52" s="1" t="s">
        <v>417</v>
      </c>
      <c r="D52" s="3">
        <f>+D35</f>
        <v>58202.606866515242</v>
      </c>
      <c r="E52" s="3">
        <f t="shared" ref="E52:L52" si="9">+E35/(1+$B$50)^E33</f>
        <v>53481.426202020688</v>
      </c>
      <c r="F52" s="3">
        <f t="shared" si="9"/>
        <v>45975.184633376186</v>
      </c>
      <c r="G52" s="3">
        <f t="shared" si="9"/>
        <v>47334.051104928694</v>
      </c>
      <c r="H52" s="3">
        <f t="shared" si="9"/>
        <v>47092.438447954664</v>
      </c>
      <c r="I52" s="3">
        <f t="shared" si="9"/>
        <v>60554.295012478091</v>
      </c>
      <c r="J52" s="3">
        <f t="shared" si="9"/>
        <v>63297.765875114899</v>
      </c>
      <c r="K52" s="3">
        <f t="shared" si="9"/>
        <v>60629.007309454893</v>
      </c>
      <c r="L52" s="3">
        <f t="shared" si="9"/>
        <v>58025.481108552325</v>
      </c>
      <c r="M52" s="3">
        <f>+(M36)/(B50-B40)</f>
        <v>1066775.3021418862</v>
      </c>
    </row>
    <row r="53" spans="1:13" x14ac:dyDescent="0.25">
      <c r="A53" s="1" t="s">
        <v>412</v>
      </c>
      <c r="B53" s="3">
        <f>+SUM(D52:L52)</f>
        <v>494592.25656039565</v>
      </c>
    </row>
    <row r="54" spans="1:13" x14ac:dyDescent="0.25">
      <c r="A54" s="1" t="s">
        <v>414</v>
      </c>
      <c r="B54" s="3">
        <f>+B53+((M52)/((1+B50)^L33))</f>
        <v>998813.84638102399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Bilanční schéma 2015</vt:lpstr>
      <vt:lpstr>Účetní výkazy 2015</vt:lpstr>
      <vt:lpstr>Parmetry</vt:lpstr>
      <vt:lpstr>Rozbor</vt:lpstr>
      <vt:lpstr>Finanční plán</vt:lpstr>
      <vt:lpstr>Vývoj cen realistický</vt:lpstr>
      <vt:lpstr>Citlivostní analýzy</vt:lpstr>
      <vt:lpstr>Vývoj cen alt. scn.</vt:lpstr>
      <vt:lpstr>Finanční plán alt. scn.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2017-05-26T00:18:41Z</dcterms:modified>
</cp:coreProperties>
</file>