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 activeTab="2"/>
  </bookViews>
  <sheets>
    <sheet name="investice" sheetId="1" r:id="rId1"/>
    <sheet name="společná investice" sheetId="5" r:id="rId2"/>
    <sheet name="min. cena tepla" sheetId="2" r:id="rId3"/>
    <sheet name="výpočty" sheetId="4" r:id="rId4"/>
    <sheet name="Nps" sheetId="6" r:id="rId5"/>
    <sheet name="VTE" sheetId="7" r:id="rId6"/>
    <sheet name="vodík" sheetId="8" r:id="rId7"/>
    <sheet name="citlivostní analýza" sheetId="3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8" i="3"/>
  <c r="E9"/>
  <c r="E10"/>
  <c r="E11"/>
  <c r="E3"/>
  <c r="E4"/>
  <c r="E5"/>
  <c r="E6"/>
  <c r="E7"/>
  <c r="C12" i="1"/>
  <c r="D88" i="2"/>
  <c r="E88" s="1"/>
  <c r="F88" s="1"/>
  <c r="G88" s="1"/>
  <c r="H88" s="1"/>
  <c r="I88" s="1"/>
  <c r="J88" s="1"/>
  <c r="K88" s="1"/>
  <c r="L88" s="1"/>
  <c r="M88" s="1"/>
  <c r="N88" s="1"/>
  <c r="O88" s="1"/>
  <c r="P88" s="1"/>
  <c r="Q88" s="1"/>
  <c r="R88" s="1"/>
  <c r="S88" s="1"/>
  <c r="T88" s="1"/>
  <c r="U88" s="1"/>
  <c r="V88" s="1"/>
  <c r="W88" s="1"/>
  <c r="D86"/>
  <c r="W86" s="1"/>
  <c r="D84"/>
  <c r="E84" s="1"/>
  <c r="W76"/>
  <c r="V76"/>
  <c r="U76"/>
  <c r="T76"/>
  <c r="S76"/>
  <c r="C59"/>
  <c r="C55"/>
  <c r="C43"/>
  <c r="C33"/>
  <c r="C38" s="1"/>
  <c r="E25"/>
  <c r="C26" s="1"/>
  <c r="C27" s="1"/>
  <c r="C28" s="1"/>
  <c r="E10"/>
  <c r="C8"/>
  <c r="C37" s="1"/>
  <c r="C47" s="1"/>
  <c r="E5"/>
  <c r="E85" l="1"/>
  <c r="F84"/>
  <c r="C48"/>
  <c r="T77"/>
  <c r="U78" s="1"/>
  <c r="U79" s="1"/>
  <c r="V77"/>
  <c r="W78" s="1"/>
  <c r="W79" s="1"/>
  <c r="D85"/>
  <c r="F86"/>
  <c r="H86"/>
  <c r="J86"/>
  <c r="L86"/>
  <c r="N86"/>
  <c r="P86"/>
  <c r="R86"/>
  <c r="T86"/>
  <c r="V86"/>
  <c r="D87"/>
  <c r="E87" s="1"/>
  <c r="F87" s="1"/>
  <c r="G87" s="1"/>
  <c r="H87" s="1"/>
  <c r="I87" s="1"/>
  <c r="J87" s="1"/>
  <c r="K87" s="1"/>
  <c r="L87" s="1"/>
  <c r="M87" s="1"/>
  <c r="N87" s="1"/>
  <c r="O87" s="1"/>
  <c r="P87" s="1"/>
  <c r="Q87" s="1"/>
  <c r="R87" s="1"/>
  <c r="S87" s="1"/>
  <c r="T87" s="1"/>
  <c r="U87" s="1"/>
  <c r="V87" s="1"/>
  <c r="W87" s="1"/>
  <c r="D89"/>
  <c r="E89" s="1"/>
  <c r="F89" s="1"/>
  <c r="G89" s="1"/>
  <c r="H89" s="1"/>
  <c r="I89" s="1"/>
  <c r="J89" s="1"/>
  <c r="K89" s="1"/>
  <c r="L89" s="1"/>
  <c r="M89" s="1"/>
  <c r="N89" s="1"/>
  <c r="O89" s="1"/>
  <c r="P89" s="1"/>
  <c r="Q89" s="1"/>
  <c r="R89" s="1"/>
  <c r="S89" s="1"/>
  <c r="T89" s="1"/>
  <c r="U89" s="1"/>
  <c r="V89" s="1"/>
  <c r="W89" s="1"/>
  <c r="S77"/>
  <c r="T78" s="1"/>
  <c r="T79" s="1"/>
  <c r="U77"/>
  <c r="V78" s="1"/>
  <c r="V79" s="1"/>
  <c r="W77"/>
  <c r="E86"/>
  <c r="G86"/>
  <c r="I86"/>
  <c r="K86"/>
  <c r="M86"/>
  <c r="O86"/>
  <c r="Q86"/>
  <c r="S86"/>
  <c r="U86"/>
  <c r="C13" i="8"/>
  <c r="C14" s="1"/>
  <c r="C18" s="1"/>
  <c r="C3"/>
  <c r="D86" i="4"/>
  <c r="G86" s="1"/>
  <c r="B18" i="7"/>
  <c r="B10"/>
  <c r="B12" s="1"/>
  <c r="E4"/>
  <c r="E3"/>
  <c r="H3" s="1"/>
  <c r="O20" i="5"/>
  <c r="N20"/>
  <c r="N21" s="1"/>
  <c r="M22"/>
  <c r="M21"/>
  <c r="M20"/>
  <c r="B15"/>
  <c r="D32"/>
  <c r="E32"/>
  <c r="F32"/>
  <c r="G32"/>
  <c r="H32"/>
  <c r="I32"/>
  <c r="J32"/>
  <c r="K32"/>
  <c r="L32"/>
  <c r="M32"/>
  <c r="N32"/>
  <c r="O32"/>
  <c r="W32"/>
  <c r="C32"/>
  <c r="B14" i="6"/>
  <c r="B7"/>
  <c r="B8"/>
  <c r="B9"/>
  <c r="B10"/>
  <c r="B11"/>
  <c r="B12"/>
  <c r="B13"/>
  <c r="B6"/>
  <c r="B5"/>
  <c r="B14" i="5"/>
  <c r="B13"/>
  <c r="C8" i="1"/>
  <c r="C11"/>
  <c r="C10"/>
  <c r="C9"/>
  <c r="C7"/>
  <c r="C6"/>
  <c r="C3"/>
  <c r="C4" s="1"/>
  <c r="D4"/>
  <c r="D12"/>
  <c r="G84" i="2" l="1"/>
  <c r="F85"/>
  <c r="B15" i="6"/>
  <c r="C17" i="8"/>
  <c r="E18"/>
  <c r="D87" i="4"/>
  <c r="E87" s="1"/>
  <c r="F87" s="1"/>
  <c r="G87" s="1"/>
  <c r="H87" s="1"/>
  <c r="I87" s="1"/>
  <c r="J87" s="1"/>
  <c r="K87" s="1"/>
  <c r="L87" s="1"/>
  <c r="M87" s="1"/>
  <c r="N87" s="1"/>
  <c r="O87" s="1"/>
  <c r="P87" s="1"/>
  <c r="Q87" s="1"/>
  <c r="R87" s="1"/>
  <c r="S87" s="1"/>
  <c r="T87" s="1"/>
  <c r="U87" s="1"/>
  <c r="V87" s="1"/>
  <c r="W87" s="1"/>
  <c r="E86"/>
  <c r="V86"/>
  <c r="T86"/>
  <c r="R86"/>
  <c r="P86"/>
  <c r="N86"/>
  <c r="L86"/>
  <c r="J86"/>
  <c r="H86"/>
  <c r="F86"/>
  <c r="W86"/>
  <c r="U86"/>
  <c r="S86"/>
  <c r="Q86"/>
  <c r="O86"/>
  <c r="M86"/>
  <c r="K86"/>
  <c r="I86"/>
  <c r="O21" i="5"/>
  <c r="N22"/>
  <c r="C20"/>
  <c r="C21" s="1"/>
  <c r="C27"/>
  <c r="C28" s="1"/>
  <c r="C29" s="1"/>
  <c r="D27" s="1"/>
  <c r="D28" s="1"/>
  <c r="D29" s="1"/>
  <c r="E27" s="1"/>
  <c r="C22"/>
  <c r="D20" s="1"/>
  <c r="D21"/>
  <c r="D22" s="1"/>
  <c r="E20" s="1"/>
  <c r="C56" i="4" l="1"/>
  <c r="C56" i="2"/>
  <c r="C57" s="1"/>
  <c r="D90" s="1"/>
  <c r="G85"/>
  <c r="H84"/>
  <c r="C20" i="8"/>
  <c r="D88" i="4"/>
  <c r="P21" i="5"/>
  <c r="O22"/>
  <c r="P20" s="1"/>
  <c r="P32" s="1"/>
  <c r="E28"/>
  <c r="E29" s="1"/>
  <c r="E21"/>
  <c r="E22" s="1"/>
  <c r="E90" i="2" l="1"/>
  <c r="I84"/>
  <c r="H85"/>
  <c r="D89" i="4"/>
  <c r="E89" s="1"/>
  <c r="F89" s="1"/>
  <c r="G89" s="1"/>
  <c r="H89" s="1"/>
  <c r="I89" s="1"/>
  <c r="J89" s="1"/>
  <c r="K89" s="1"/>
  <c r="L89" s="1"/>
  <c r="M89" s="1"/>
  <c r="N89" s="1"/>
  <c r="O89" s="1"/>
  <c r="P89" s="1"/>
  <c r="Q89" s="1"/>
  <c r="R89" s="1"/>
  <c r="S89" s="1"/>
  <c r="T89" s="1"/>
  <c r="U89" s="1"/>
  <c r="V89" s="1"/>
  <c r="W89" s="1"/>
  <c r="E88"/>
  <c r="F88" s="1"/>
  <c r="G88" s="1"/>
  <c r="H88" s="1"/>
  <c r="I88" s="1"/>
  <c r="J88" s="1"/>
  <c r="K88" s="1"/>
  <c r="L88" s="1"/>
  <c r="M88" s="1"/>
  <c r="N88" s="1"/>
  <c r="O88" s="1"/>
  <c r="P88" s="1"/>
  <c r="Q88" s="1"/>
  <c r="R88" s="1"/>
  <c r="S88" s="1"/>
  <c r="T88" s="1"/>
  <c r="U88" s="1"/>
  <c r="V88" s="1"/>
  <c r="W88" s="1"/>
  <c r="Q21" i="5"/>
  <c r="P22"/>
  <c r="Q20" s="1"/>
  <c r="Q32" s="1"/>
  <c r="F90" i="2" l="1"/>
  <c r="I85"/>
  <c r="J84"/>
  <c r="Q22" i="5"/>
  <c r="R20" s="1"/>
  <c r="R32" s="1"/>
  <c r="F27"/>
  <c r="F28" s="1"/>
  <c r="F29" s="1"/>
  <c r="F20"/>
  <c r="F21" s="1"/>
  <c r="F22" s="1"/>
  <c r="G90" i="2" l="1"/>
  <c r="K84"/>
  <c r="J85"/>
  <c r="R21" i="5"/>
  <c r="R22" s="1"/>
  <c r="S20" s="1"/>
  <c r="S32" s="1"/>
  <c r="G27"/>
  <c r="G28" s="1"/>
  <c r="G29" s="1"/>
  <c r="G20"/>
  <c r="G21" s="1"/>
  <c r="G22" s="1"/>
  <c r="H90" i="2" l="1"/>
  <c r="K85"/>
  <c r="L84"/>
  <c r="S21" i="5"/>
  <c r="S22" s="1"/>
  <c r="T20" s="1"/>
  <c r="H27"/>
  <c r="H28" s="1"/>
  <c r="H29" s="1"/>
  <c r="H20"/>
  <c r="H21" s="1"/>
  <c r="H22" s="1"/>
  <c r="I90" i="2" l="1"/>
  <c r="M84"/>
  <c r="L85"/>
  <c r="T32" i="5"/>
  <c r="T21"/>
  <c r="T22"/>
  <c r="U20" s="1"/>
  <c r="U32" s="1"/>
  <c r="I27"/>
  <c r="I28" s="1"/>
  <c r="I29" s="1"/>
  <c r="I20"/>
  <c r="I21" s="1"/>
  <c r="I22" s="1"/>
  <c r="J90" i="2" l="1"/>
  <c r="M85"/>
  <c r="N84"/>
  <c r="U21" i="5"/>
  <c r="U22" s="1"/>
  <c r="V20" s="1"/>
  <c r="J27"/>
  <c r="J28" s="1"/>
  <c r="J29" s="1"/>
  <c r="J20"/>
  <c r="J21" s="1"/>
  <c r="J22" s="1"/>
  <c r="K90" i="2" l="1"/>
  <c r="O84"/>
  <c r="N85"/>
  <c r="V32" i="5"/>
  <c r="V21"/>
  <c r="V22" s="1"/>
  <c r="K27"/>
  <c r="K28" s="1"/>
  <c r="K29" s="1"/>
  <c r="K20"/>
  <c r="K21" s="1"/>
  <c r="K22" s="1"/>
  <c r="L90" i="2" l="1"/>
  <c r="O85"/>
  <c r="P84"/>
  <c r="L27" i="5"/>
  <c r="L28" s="1"/>
  <c r="L20"/>
  <c r="L21" s="1"/>
  <c r="L22" s="1"/>
  <c r="M90" i="2" l="1"/>
  <c r="Q84"/>
  <c r="P85"/>
  <c r="L29" i="5"/>
  <c r="M27" s="1"/>
  <c r="M28" s="1"/>
  <c r="N90" i="2" l="1"/>
  <c r="Q85"/>
  <c r="R84"/>
  <c r="M29" i="5"/>
  <c r="N27" s="1"/>
  <c r="N28" s="1"/>
  <c r="N29" s="1"/>
  <c r="O27" s="1"/>
  <c r="O28" s="1"/>
  <c r="O90" i="2" l="1"/>
  <c r="S84"/>
  <c r="R85"/>
  <c r="O29" i="5"/>
  <c r="P27" s="1"/>
  <c r="P28" s="1"/>
  <c r="P90" i="2" l="1"/>
  <c r="S85"/>
  <c r="T84"/>
  <c r="P29" i="5"/>
  <c r="Q27" s="1"/>
  <c r="Q28" s="1"/>
  <c r="Q90" i="2" l="1"/>
  <c r="U84"/>
  <c r="T85"/>
  <c r="Q29" i="5"/>
  <c r="R27" s="1"/>
  <c r="R28" s="1"/>
  <c r="R90" i="2" l="1"/>
  <c r="U85"/>
  <c r="V84"/>
  <c r="R29" i="5"/>
  <c r="S27" s="1"/>
  <c r="S28" s="1"/>
  <c r="S90" i="2" l="1"/>
  <c r="W84"/>
  <c r="W85" s="1"/>
  <c r="V85"/>
  <c r="S29" i="5"/>
  <c r="T27" s="1"/>
  <c r="T28" s="1"/>
  <c r="T90" i="2" l="1"/>
  <c r="T29" i="5"/>
  <c r="U27" s="1"/>
  <c r="U28" s="1"/>
  <c r="U90" i="2" l="1"/>
  <c r="U29" i="5"/>
  <c r="V27" s="1"/>
  <c r="V28" s="1"/>
  <c r="V90" i="2" l="1"/>
  <c r="V29" i="5"/>
  <c r="W27" s="1"/>
  <c r="W28"/>
  <c r="W29" s="1"/>
  <c r="W90" i="2" l="1"/>
  <c r="B11" i="5"/>
  <c r="C43" i="4"/>
  <c r="C55"/>
  <c r="C57" s="1"/>
  <c r="C33"/>
  <c r="E5"/>
  <c r="C5" i="8" s="1"/>
  <c r="E25" i="4"/>
  <c r="E10"/>
  <c r="C8"/>
  <c r="C37" s="1"/>
  <c r="C47" s="1"/>
  <c r="D84"/>
  <c r="E84" s="1"/>
  <c r="W76"/>
  <c r="V76"/>
  <c r="U76"/>
  <c r="T76"/>
  <c r="S76"/>
  <c r="C59"/>
  <c r="C6" i="8" l="1"/>
  <c r="E5"/>
  <c r="C15" s="1"/>
  <c r="C38" i="4"/>
  <c r="D90"/>
  <c r="E90" s="1"/>
  <c r="F90" s="1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B28" i="1"/>
  <c r="C26" i="4"/>
  <c r="C27" s="1"/>
  <c r="C28" s="1"/>
  <c r="C48"/>
  <c r="E85"/>
  <c r="F84"/>
  <c r="S77"/>
  <c r="T78" s="1"/>
  <c r="T79" s="1"/>
  <c r="U77"/>
  <c r="V78" s="1"/>
  <c r="V79" s="1"/>
  <c r="W77"/>
  <c r="D85"/>
  <c r="T77"/>
  <c r="U78" s="1"/>
  <c r="U79" s="1"/>
  <c r="V77"/>
  <c r="W78" s="1"/>
  <c r="W79" s="1"/>
  <c r="G84" l="1"/>
  <c r="F85"/>
  <c r="G85" l="1"/>
  <c r="H84"/>
  <c r="I84" l="1"/>
  <c r="H85"/>
  <c r="I85" l="1"/>
  <c r="J84"/>
  <c r="K84" l="1"/>
  <c r="J85"/>
  <c r="K85" l="1"/>
  <c r="L84"/>
  <c r="M84" l="1"/>
  <c r="L85"/>
  <c r="M85" l="1"/>
  <c r="N84"/>
  <c r="O84" l="1"/>
  <c r="N85"/>
  <c r="O85" l="1"/>
  <c r="P84"/>
  <c r="Q84" l="1"/>
  <c r="P85"/>
  <c r="Q85" l="1"/>
  <c r="R84"/>
  <c r="S84" l="1"/>
  <c r="R85"/>
  <c r="S85" l="1"/>
  <c r="T84"/>
  <c r="U84" l="1"/>
  <c r="T85"/>
  <c r="U85" l="1"/>
  <c r="V84"/>
  <c r="W84" l="1"/>
  <c r="W85" s="1"/>
  <c r="V85"/>
  <c r="B14" i="1" l="1"/>
  <c r="B15" s="1"/>
  <c r="C58" i="2" s="1"/>
  <c r="C21" i="1"/>
  <c r="D83" i="2" s="1"/>
  <c r="D91" s="1"/>
  <c r="M82" l="1"/>
  <c r="C82"/>
  <c r="C94" s="1"/>
  <c r="C60"/>
  <c r="C61" s="1"/>
  <c r="C65"/>
  <c r="M21" i="1"/>
  <c r="N83" i="2" s="1"/>
  <c r="N91" s="1"/>
  <c r="D83" i="4"/>
  <c r="D91" s="1"/>
  <c r="B27" i="1"/>
  <c r="B29" s="1"/>
  <c r="C58" i="4"/>
  <c r="C22" i="1"/>
  <c r="C95" i="2" l="1"/>
  <c r="C96" s="1"/>
  <c r="D78"/>
  <c r="D92" s="1"/>
  <c r="D93" s="1"/>
  <c r="D76"/>
  <c r="N83" i="4"/>
  <c r="N91" s="1"/>
  <c r="M82"/>
  <c r="C65"/>
  <c r="C82"/>
  <c r="C23" i="1"/>
  <c r="D21" s="1"/>
  <c r="E83" i="2" s="1"/>
  <c r="E91" s="1"/>
  <c r="C94" i="4"/>
  <c r="C60"/>
  <c r="C61" s="1"/>
  <c r="Q76" i="2" l="1"/>
  <c r="I76"/>
  <c r="R76"/>
  <c r="J76"/>
  <c r="O76"/>
  <c r="K76"/>
  <c r="G76"/>
  <c r="D79"/>
  <c r="D94" s="1"/>
  <c r="P76"/>
  <c r="L76"/>
  <c r="H76"/>
  <c r="M76"/>
  <c r="E76"/>
  <c r="N76"/>
  <c r="F76"/>
  <c r="D77"/>
  <c r="E78" s="1"/>
  <c r="E92" s="1"/>
  <c r="E93" s="1"/>
  <c r="N21" i="1"/>
  <c r="O83" i="2" s="1"/>
  <c r="O91" s="1"/>
  <c r="E83" i="4"/>
  <c r="E91" s="1"/>
  <c r="D76"/>
  <c r="D78"/>
  <c r="D92" s="1"/>
  <c r="D93" s="1"/>
  <c r="D77"/>
  <c r="E78" s="1"/>
  <c r="C95"/>
  <c r="C96" s="1"/>
  <c r="D22" i="1"/>
  <c r="D23" s="1"/>
  <c r="E21" s="1"/>
  <c r="F83" i="2" s="1"/>
  <c r="F91" s="1"/>
  <c r="E79" l="1"/>
  <c r="E94" s="1"/>
  <c r="E95" s="1"/>
  <c r="E77"/>
  <c r="F78" s="1"/>
  <c r="F92" s="1"/>
  <c r="F93" s="1"/>
  <c r="D95"/>
  <c r="D96" s="1"/>
  <c r="E96" s="1"/>
  <c r="O83" i="4"/>
  <c r="O91" s="1"/>
  <c r="F83"/>
  <c r="O21" i="1"/>
  <c r="P83" i="2" s="1"/>
  <c r="P91" s="1"/>
  <c r="Q76" i="4"/>
  <c r="O76"/>
  <c r="R76"/>
  <c r="P76"/>
  <c r="N76"/>
  <c r="E92"/>
  <c r="E93" s="1"/>
  <c r="E22" i="1"/>
  <c r="E23" s="1"/>
  <c r="F21" s="1"/>
  <c r="G83" i="2" s="1"/>
  <c r="G91" s="1"/>
  <c r="F91" i="4"/>
  <c r="D79"/>
  <c r="D94" s="1"/>
  <c r="J76"/>
  <c r="F76"/>
  <c r="K76"/>
  <c r="G76"/>
  <c r="L76"/>
  <c r="H76"/>
  <c r="M76"/>
  <c r="I76"/>
  <c r="E76"/>
  <c r="F77" i="2" l="1"/>
  <c r="F79"/>
  <c r="F94" s="1"/>
  <c r="P21" i="1"/>
  <c r="Q83" i="2" s="1"/>
  <c r="Q91" s="1"/>
  <c r="G83" i="4"/>
  <c r="G91" s="1"/>
  <c r="P83"/>
  <c r="P91" s="1"/>
  <c r="E77"/>
  <c r="F78" s="1"/>
  <c r="F92" s="1"/>
  <c r="F93" s="1"/>
  <c r="E79"/>
  <c r="F22" i="1"/>
  <c r="D95" i="4"/>
  <c r="D96" s="1"/>
  <c r="F95" i="2" l="1"/>
  <c r="F96" s="1"/>
  <c r="G78"/>
  <c r="G77"/>
  <c r="F77" i="4"/>
  <c r="G78" s="1"/>
  <c r="G79" s="1"/>
  <c r="E94"/>
  <c r="E95" s="1"/>
  <c r="E96" s="1"/>
  <c r="Q83"/>
  <c r="Q91" s="1"/>
  <c r="F79"/>
  <c r="F23" i="1"/>
  <c r="G21" s="1"/>
  <c r="H83" i="2" s="1"/>
  <c r="H91" s="1"/>
  <c r="G92" i="4"/>
  <c r="G93" s="1"/>
  <c r="H78" i="2" l="1"/>
  <c r="H77"/>
  <c r="G77" i="4"/>
  <c r="H78" s="1"/>
  <c r="G92" i="2"/>
  <c r="G93" s="1"/>
  <c r="G79"/>
  <c r="H77" i="4"/>
  <c r="I77" s="1"/>
  <c r="F94"/>
  <c r="F95" s="1"/>
  <c r="F96" s="1"/>
  <c r="G22" i="1"/>
  <c r="G23" s="1"/>
  <c r="H21" s="1"/>
  <c r="I83" i="2" s="1"/>
  <c r="I91" s="1"/>
  <c r="H83" i="4"/>
  <c r="H91" s="1"/>
  <c r="Q21" i="1"/>
  <c r="R83" i="2" s="1"/>
  <c r="R91" s="1"/>
  <c r="G94" i="4"/>
  <c r="G95" s="1"/>
  <c r="H79"/>
  <c r="H92" i="2" l="1"/>
  <c r="H93" s="1"/>
  <c r="H79"/>
  <c r="H94" s="1"/>
  <c r="H95" s="1"/>
  <c r="I78" i="4"/>
  <c r="G94" i="2"/>
  <c r="I78"/>
  <c r="I77"/>
  <c r="H22" i="1"/>
  <c r="H23" s="1"/>
  <c r="I21" s="1"/>
  <c r="J83" i="2" s="1"/>
  <c r="J91" s="1"/>
  <c r="R83" i="4"/>
  <c r="R91" s="1"/>
  <c r="R21" i="1"/>
  <c r="S83" i="2" s="1"/>
  <c r="S91" s="1"/>
  <c r="I83" i="4"/>
  <c r="I91" s="1"/>
  <c r="G96"/>
  <c r="I79"/>
  <c r="I22" i="1"/>
  <c r="I23" s="1"/>
  <c r="J21" s="1"/>
  <c r="K83" i="2" s="1"/>
  <c r="K91" s="1"/>
  <c r="H92" i="4"/>
  <c r="H93" s="1"/>
  <c r="H94" s="1"/>
  <c r="J78"/>
  <c r="J77"/>
  <c r="J78" i="2" l="1"/>
  <c r="J77"/>
  <c r="G95"/>
  <c r="G96" s="1"/>
  <c r="I92"/>
  <c r="I93" s="1"/>
  <c r="I79"/>
  <c r="I92" i="4"/>
  <c r="I93" s="1"/>
  <c r="H96" i="2"/>
  <c r="J83" i="4"/>
  <c r="J91" s="1"/>
  <c r="S21" i="1"/>
  <c r="I94" i="4"/>
  <c r="I95" s="1"/>
  <c r="T21" i="1"/>
  <c r="U83" i="2" s="1"/>
  <c r="K83" i="4"/>
  <c r="K91" s="1"/>
  <c r="S83"/>
  <c r="S91" s="1"/>
  <c r="J22" i="1"/>
  <c r="J23" s="1"/>
  <c r="K21" s="1"/>
  <c r="L83" i="2" s="1"/>
  <c r="L91" s="1"/>
  <c r="H95" i="4"/>
  <c r="H96" s="1"/>
  <c r="K78"/>
  <c r="K77"/>
  <c r="J79"/>
  <c r="U92" i="2" l="1"/>
  <c r="U93" s="1"/>
  <c r="U94" s="1"/>
  <c r="U95" s="1"/>
  <c r="U91"/>
  <c r="T83" i="4"/>
  <c r="T83" i="2"/>
  <c r="J92"/>
  <c r="J93" s="1"/>
  <c r="J79"/>
  <c r="J94" s="1"/>
  <c r="J95" s="1"/>
  <c r="J92" i="4"/>
  <c r="J93" s="1"/>
  <c r="I94" i="2"/>
  <c r="K78"/>
  <c r="K77"/>
  <c r="J94" i="4"/>
  <c r="J95" s="1"/>
  <c r="L83"/>
  <c r="L91" s="1"/>
  <c r="U21" i="1"/>
  <c r="V83" i="2" s="1"/>
  <c r="U83" i="4"/>
  <c r="T91"/>
  <c r="T92"/>
  <c r="T93" s="1"/>
  <c r="I96"/>
  <c r="L78"/>
  <c r="L77"/>
  <c r="K92"/>
  <c r="K93" s="1"/>
  <c r="K79"/>
  <c r="K22" i="1"/>
  <c r="K23" s="1"/>
  <c r="V91" i="2" l="1"/>
  <c r="V92"/>
  <c r="V93" s="1"/>
  <c r="V94" s="1"/>
  <c r="V95" s="1"/>
  <c r="K92"/>
  <c r="K93" s="1"/>
  <c r="K79"/>
  <c r="K94" s="1"/>
  <c r="K95" s="1"/>
  <c r="L78"/>
  <c r="L77"/>
  <c r="I95"/>
  <c r="I96" s="1"/>
  <c r="J96" s="1"/>
  <c r="T91"/>
  <c r="T92"/>
  <c r="T93" s="1"/>
  <c r="T94" s="1"/>
  <c r="T95" s="1"/>
  <c r="T94" i="4"/>
  <c r="T95" s="1"/>
  <c r="V83"/>
  <c r="U92"/>
  <c r="U93" s="1"/>
  <c r="U91"/>
  <c r="K94"/>
  <c r="K95" s="1"/>
  <c r="J96"/>
  <c r="L92"/>
  <c r="L93" s="1"/>
  <c r="L79"/>
  <c r="M78"/>
  <c r="M77"/>
  <c r="L92" i="2" l="1"/>
  <c r="L93" s="1"/>
  <c r="L79"/>
  <c r="L94" s="1"/>
  <c r="K96"/>
  <c r="M78"/>
  <c r="M77"/>
  <c r="K96" i="4"/>
  <c r="U94"/>
  <c r="U95" s="1"/>
  <c r="V92"/>
  <c r="V93" s="1"/>
  <c r="V91"/>
  <c r="L94"/>
  <c r="L95" s="1"/>
  <c r="L96" s="1"/>
  <c r="N78"/>
  <c r="N79" s="1"/>
  <c r="N77"/>
  <c r="M79"/>
  <c r="L21" i="1"/>
  <c r="M83" i="2" s="1"/>
  <c r="M91" s="1"/>
  <c r="L95" l="1"/>
  <c r="L96" s="1"/>
  <c r="N78"/>
  <c r="N77"/>
  <c r="M92"/>
  <c r="M93" s="1"/>
  <c r="M79"/>
  <c r="V94" i="4"/>
  <c r="V95" s="1"/>
  <c r="N92"/>
  <c r="N93" s="1"/>
  <c r="N94" s="1"/>
  <c r="N95" s="1"/>
  <c r="V21" i="1"/>
  <c r="W83" i="2" s="1"/>
  <c r="M83" i="4"/>
  <c r="O78"/>
  <c r="O77"/>
  <c r="L22" i="1"/>
  <c r="L23" s="1"/>
  <c r="O78" i="2" l="1"/>
  <c r="O77"/>
  <c r="N92"/>
  <c r="N93" s="1"/>
  <c r="N79"/>
  <c r="M94"/>
  <c r="M95" s="1"/>
  <c r="M96" s="1"/>
  <c r="W92"/>
  <c r="W93" s="1"/>
  <c r="W94" s="1"/>
  <c r="W91"/>
  <c r="W83" i="4"/>
  <c r="O79"/>
  <c r="O92"/>
  <c r="O93" s="1"/>
  <c r="P78"/>
  <c r="P77"/>
  <c r="M91"/>
  <c r="M92"/>
  <c r="M93" s="1"/>
  <c r="M94" s="1"/>
  <c r="W95" i="2" l="1"/>
  <c r="O92"/>
  <c r="O93" s="1"/>
  <c r="O79"/>
  <c r="P78"/>
  <c r="P77"/>
  <c r="N94"/>
  <c r="N95" s="1"/>
  <c r="N96" s="1"/>
  <c r="O94" i="4"/>
  <c r="O95" s="1"/>
  <c r="W92"/>
  <c r="W93" s="1"/>
  <c r="W91"/>
  <c r="P79"/>
  <c r="P92"/>
  <c r="P93" s="1"/>
  <c r="Q78"/>
  <c r="Q77"/>
  <c r="M95"/>
  <c r="M96" s="1"/>
  <c r="N96" s="1"/>
  <c r="Q78" i="2" l="1"/>
  <c r="Q77"/>
  <c r="O94"/>
  <c r="O95" s="1"/>
  <c r="O96" s="1"/>
  <c r="P92"/>
  <c r="P93" s="1"/>
  <c r="P79"/>
  <c r="W94" i="4"/>
  <c r="W95" s="1"/>
  <c r="P94"/>
  <c r="P95" s="1"/>
  <c r="O96"/>
  <c r="Q79"/>
  <c r="Q92"/>
  <c r="Q93" s="1"/>
  <c r="R78"/>
  <c r="R77"/>
  <c r="S78" s="1"/>
  <c r="P94" i="2" l="1"/>
  <c r="P95" s="1"/>
  <c r="P96" s="1"/>
  <c r="Q92"/>
  <c r="Q93" s="1"/>
  <c r="Q79"/>
  <c r="R78"/>
  <c r="R77"/>
  <c r="S78" s="1"/>
  <c r="Q94" i="4"/>
  <c r="P96"/>
  <c r="S79"/>
  <c r="S92"/>
  <c r="S93" s="1"/>
  <c r="R79"/>
  <c r="R92"/>
  <c r="R93" s="1"/>
  <c r="Q94" i="2" l="1"/>
  <c r="Q95" s="1"/>
  <c r="Q96" s="1"/>
  <c r="S79"/>
  <c r="S92"/>
  <c r="S93" s="1"/>
  <c r="R92"/>
  <c r="R93" s="1"/>
  <c r="R79"/>
  <c r="R94" i="4"/>
  <c r="R95" s="1"/>
  <c r="S94"/>
  <c r="S95" s="1"/>
  <c r="Q95"/>
  <c r="Q96" s="1"/>
  <c r="R94" i="2" l="1"/>
  <c r="R95" s="1"/>
  <c r="R96" s="1"/>
  <c r="S94"/>
  <c r="S95" s="1"/>
  <c r="B102" i="4"/>
  <c r="R96"/>
  <c r="S96" s="1"/>
  <c r="T96" s="1"/>
  <c r="U96" s="1"/>
  <c r="V96" s="1"/>
  <c r="W96" s="1"/>
  <c r="B103"/>
  <c r="S96" i="2" l="1"/>
  <c r="T96" s="1"/>
  <c r="U96" s="1"/>
  <c r="V96" s="1"/>
  <c r="W96" s="1"/>
  <c r="B102"/>
  <c r="B103"/>
</calcChain>
</file>

<file path=xl/sharedStrings.xml><?xml version="1.0" encoding="utf-8"?>
<sst xmlns="http://schemas.openxmlformats.org/spreadsheetml/2006/main" count="481" uniqueCount="220">
  <si>
    <t>Objekt</t>
  </si>
  <si>
    <t>Bytové prostory</t>
  </si>
  <si>
    <t>průměrný dům</t>
  </si>
  <si>
    <t>80 domů</t>
  </si>
  <si>
    <t>Nebytové prostory</t>
  </si>
  <si>
    <t>kulturní dům</t>
  </si>
  <si>
    <t>penzion</t>
  </si>
  <si>
    <t>zemědělské družstvo (kanceláře)</t>
  </si>
  <si>
    <t>dílna</t>
  </si>
  <si>
    <t>truhlářství</t>
  </si>
  <si>
    <t xml:space="preserve"> -</t>
  </si>
  <si>
    <t>Odpisy</t>
  </si>
  <si>
    <t>kotle</t>
  </si>
  <si>
    <t>3. odpisová skupina (10 let)</t>
  </si>
  <si>
    <t>zrychlené odepisování</t>
  </si>
  <si>
    <t>aTž</t>
  </si>
  <si>
    <t>r</t>
  </si>
  <si>
    <t>výhřevnost q</t>
  </si>
  <si>
    <t>MJ/kg</t>
  </si>
  <si>
    <t>teplo Qcel,r</t>
  </si>
  <si>
    <t>GJ</t>
  </si>
  <si>
    <t>Mpal</t>
  </si>
  <si>
    <t>kg</t>
  </si>
  <si>
    <t>množství paliva</t>
  </si>
  <si>
    <t>Vstupy</t>
  </si>
  <si>
    <t>Výpočty</t>
  </si>
  <si>
    <t>Cena paliva</t>
  </si>
  <si>
    <t>Kč</t>
  </si>
  <si>
    <t>Cpal</t>
  </si>
  <si>
    <t>Npal</t>
  </si>
  <si>
    <t>Nost</t>
  </si>
  <si>
    <t>Npp</t>
  </si>
  <si>
    <t>Nps</t>
  </si>
  <si>
    <t>Np</t>
  </si>
  <si>
    <t>provozní náklady</t>
  </si>
  <si>
    <t>palivové náklady</t>
  </si>
  <si>
    <t>ostatní prov. náklady</t>
  </si>
  <si>
    <t>proměnné prov. náklady</t>
  </si>
  <si>
    <t>stálé provozní náklady</t>
  </si>
  <si>
    <t>doba životnosti</t>
  </si>
  <si>
    <t>Tž</t>
  </si>
  <si>
    <t>let</t>
  </si>
  <si>
    <t>diskont</t>
  </si>
  <si>
    <t>investiční náklady</t>
  </si>
  <si>
    <t>Ni</t>
  </si>
  <si>
    <t>poměrná roční anuita</t>
  </si>
  <si>
    <t>výrobní náklady</t>
  </si>
  <si>
    <t>Nvyr</t>
  </si>
  <si>
    <t>Cmin</t>
  </si>
  <si>
    <t>Kč/GJ</t>
  </si>
  <si>
    <t>Výpočet NPV</t>
  </si>
  <si>
    <t>Roky</t>
  </si>
  <si>
    <t>úvěr</t>
  </si>
  <si>
    <t>hodnota úvěru</t>
  </si>
  <si>
    <t>vlastní kapitál</t>
  </si>
  <si>
    <t xml:space="preserve">úrok </t>
  </si>
  <si>
    <t>počet let</t>
  </si>
  <si>
    <t>úrok</t>
  </si>
  <si>
    <t>úmor</t>
  </si>
  <si>
    <t>úvěr - pevný úmor</t>
  </si>
  <si>
    <t>dluh pro výpočet úroku</t>
  </si>
  <si>
    <t>tempo růstu nákladů</t>
  </si>
  <si>
    <t>oprávky</t>
  </si>
  <si>
    <t>zůstatková cena</t>
  </si>
  <si>
    <t>odpisy</t>
  </si>
  <si>
    <t>splátka</t>
  </si>
  <si>
    <t>provozní zisk</t>
  </si>
  <si>
    <t>daň z příjmu</t>
  </si>
  <si>
    <t>daň. základ</t>
  </si>
  <si>
    <t>daň k zaplacení</t>
  </si>
  <si>
    <t>CF</t>
  </si>
  <si>
    <t>DCF</t>
  </si>
  <si>
    <t>Kumulované DCF</t>
  </si>
  <si>
    <t>Minimální cena tepla bez dani z hlediska investora</t>
  </si>
  <si>
    <t>min. cena tepla projekt</t>
  </si>
  <si>
    <t>růst ceny tepla</t>
  </si>
  <si>
    <t>NPV</t>
  </si>
  <si>
    <t>IRR</t>
  </si>
  <si>
    <t>Cena 1GJ/Kč</t>
  </si>
  <si>
    <t>palivo - vodík</t>
  </si>
  <si>
    <t>celková účinnost kogenerační jednotky</t>
  </si>
  <si>
    <t>účinnost na teplo</t>
  </si>
  <si>
    <t>účinnost na elektřinu</t>
  </si>
  <si>
    <t>GJ/r</t>
  </si>
  <si>
    <t>Wkog,c</t>
  </si>
  <si>
    <t>m3</t>
  </si>
  <si>
    <t>na den topného maxima</t>
  </si>
  <si>
    <t>Qd,max</t>
  </si>
  <si>
    <t>MWh</t>
  </si>
  <si>
    <t>1 kWh = 3,6 MJ</t>
  </si>
  <si>
    <t>GJ/den</t>
  </si>
  <si>
    <t>min. výroba vodíku v elektrolyzéru</t>
  </si>
  <si>
    <t>m3/h</t>
  </si>
  <si>
    <t>účinnost elektrolyzéru</t>
  </si>
  <si>
    <t>p</t>
  </si>
  <si>
    <t>Objem vysokotlakého zásobníku</t>
  </si>
  <si>
    <t>počet hodin dne</t>
  </si>
  <si>
    <t>h</t>
  </si>
  <si>
    <t>maximální teplený příkon</t>
  </si>
  <si>
    <t>Ptm</t>
  </si>
  <si>
    <t>MWt</t>
  </si>
  <si>
    <t>potřeba energie na den maxima</t>
  </si>
  <si>
    <t>WH</t>
  </si>
  <si>
    <t>tlak v zásobníku</t>
  </si>
  <si>
    <t>MPa</t>
  </si>
  <si>
    <t>předpokládaná účinnost přeměny H2 na teplo</t>
  </si>
  <si>
    <t>objem zásobníku</t>
  </si>
  <si>
    <t>VH</t>
  </si>
  <si>
    <t>atmosférický tlak</t>
  </si>
  <si>
    <t>pa</t>
  </si>
  <si>
    <t>kwh/kg</t>
  </si>
  <si>
    <t>hustota</t>
  </si>
  <si>
    <t>kg/m3</t>
  </si>
  <si>
    <t>Objem plynojemu</t>
  </si>
  <si>
    <t>tlak v plynojemu</t>
  </si>
  <si>
    <t>Zařízení</t>
  </si>
  <si>
    <t>Větrná elektrárna</t>
  </si>
  <si>
    <t>Elektrolyzér</t>
  </si>
  <si>
    <t>Kompresor</t>
  </si>
  <si>
    <t>Redukce tlaku</t>
  </si>
  <si>
    <t>Tlakový zásobník</t>
  </si>
  <si>
    <t>Potrubí DN 120 1200 m</t>
  </si>
  <si>
    <t>Plynojem</t>
  </si>
  <si>
    <t>Potrubní síť LPE DN 50</t>
  </si>
  <si>
    <t>Zásobování vodou</t>
  </si>
  <si>
    <t>Cena [tis Kč]</t>
  </si>
  <si>
    <t>Poměrné roční provozní stálé náklady [% Ni]</t>
  </si>
  <si>
    <t>Životnost [r]</t>
  </si>
  <si>
    <t>Celkem</t>
  </si>
  <si>
    <t>http://www.bhkw-infothek.de/nachrichten/8859/2012-07-18-vaillant-startet-grose-preisoffensive-fur-das-ecopower-1-0/</t>
  </si>
  <si>
    <t>obchod</t>
  </si>
  <si>
    <t>ecoPOWER 1.0</t>
  </si>
  <si>
    <t>Cena [Euro]</t>
  </si>
  <si>
    <t>ecoPOWER 3.0</t>
  </si>
  <si>
    <t>http://www.bhkw-forum.de/board87-bhkw-anbieter-und-produkte/board191-mikro-und-mini-bhkw/board16-vaillant-ecopower-3-0-und-4-7/3844-preise-ecopower/</t>
  </si>
  <si>
    <t>ecoPOWER 4.7</t>
  </si>
  <si>
    <t>Kogenerační jednotka</t>
  </si>
  <si>
    <t>Instalace [% Ni]</t>
  </si>
  <si>
    <t>Investiční náklady celkem [tis. Kč]</t>
  </si>
  <si>
    <t>Cena [tis. Kč]</t>
  </si>
  <si>
    <t>Odpisy kog. jednotek</t>
  </si>
  <si>
    <t>odpisová skupina</t>
  </si>
  <si>
    <t>Součet 3. odpisové skupiny</t>
  </si>
  <si>
    <t>Součet 4. odpisové skupiny</t>
  </si>
  <si>
    <t>tis. Kč</t>
  </si>
  <si>
    <t>4. odpisová skupina (20 let)</t>
  </si>
  <si>
    <t>Instalace [tis. Kč]</t>
  </si>
  <si>
    <t>Celkové investiční náklady varianty 2</t>
  </si>
  <si>
    <t>kogenerační jednotky</t>
  </si>
  <si>
    <t>vodíková infrastruktura</t>
  </si>
  <si>
    <t>Wvte</t>
  </si>
  <si>
    <t>vyrobeno za průměrný větrný rok</t>
  </si>
  <si>
    <t>Poměrné stálé provozní náklady</t>
  </si>
  <si>
    <t>Náklady</t>
  </si>
  <si>
    <r>
      <t>N</t>
    </r>
    <r>
      <rPr>
        <b/>
        <sz val="8"/>
        <color theme="1"/>
        <rFont val="Calibri"/>
        <family val="2"/>
        <charset val="238"/>
        <scheme val="minor"/>
      </rPr>
      <t>ps</t>
    </r>
  </si>
  <si>
    <r>
      <t>Celkem N</t>
    </r>
    <r>
      <rPr>
        <b/>
        <sz val="9"/>
        <color theme="1"/>
        <rFont val="Calibri"/>
        <family val="2"/>
        <charset val="238"/>
        <scheme val="minor"/>
      </rPr>
      <t>ps</t>
    </r>
    <r>
      <rPr>
        <b/>
        <sz val="11"/>
        <color theme="1"/>
        <rFont val="Calibri"/>
        <family val="2"/>
        <charset val="238"/>
        <scheme val="minor"/>
      </rPr>
      <t xml:space="preserve"> [tis. Kč]</t>
    </r>
  </si>
  <si>
    <t>Odpisy celkem</t>
  </si>
  <si>
    <t>nákup nových</t>
  </si>
  <si>
    <t>Součet elektrolyzéru a kompresoru</t>
  </si>
  <si>
    <t>nákup elektrolyzéru a kompresoru</t>
  </si>
  <si>
    <t>Wr</t>
  </si>
  <si>
    <t xml:space="preserve">Roční využití výkonu </t>
  </si>
  <si>
    <t>rok</t>
  </si>
  <si>
    <t>průměr</t>
  </si>
  <si>
    <t>Pavlov I.</t>
  </si>
  <si>
    <t>Pavlov II.</t>
  </si>
  <si>
    <t xml:space="preserve"> - </t>
  </si>
  <si>
    <t>Jaký výkon VTE?</t>
  </si>
  <si>
    <t>tr</t>
  </si>
  <si>
    <t>hod</t>
  </si>
  <si>
    <t>kr</t>
  </si>
  <si>
    <t>potřeba tepla</t>
  </si>
  <si>
    <t>MWh/rok</t>
  </si>
  <si>
    <t>rezerva</t>
  </si>
  <si>
    <t>Pinst</t>
  </si>
  <si>
    <t>MW</t>
  </si>
  <si>
    <t>Wr [MWh]</t>
  </si>
  <si>
    <t>Zelený bonus</t>
  </si>
  <si>
    <t>Zelený bonus pro VTE</t>
  </si>
  <si>
    <t>Kč/MWh</t>
  </si>
  <si>
    <t>tempo růstu Zelého bonusu</t>
  </si>
  <si>
    <t>cena za 1 GJ tepla</t>
  </si>
  <si>
    <t>roční výroba elektřiny VTE</t>
  </si>
  <si>
    <t>Np [Kč]</t>
  </si>
  <si>
    <t>[Kč]</t>
  </si>
  <si>
    <t>Roční výroba vodíku</t>
  </si>
  <si>
    <t>účinost elektrolýzy</t>
  </si>
  <si>
    <t>výhřevnost vodíku</t>
  </si>
  <si>
    <t>q</t>
  </si>
  <si>
    <t>kWh/kg</t>
  </si>
  <si>
    <t>Mv</t>
  </si>
  <si>
    <t>vyrobeno vodíku</t>
  </si>
  <si>
    <t>Množství spotřebovaného vodíku</t>
  </si>
  <si>
    <t>výroba v kog. jednotkách</t>
  </si>
  <si>
    <t>účinost kog. jed. na teplo</t>
  </si>
  <si>
    <t>roční potřeba tepla</t>
  </si>
  <si>
    <t>Qcel,r</t>
  </si>
  <si>
    <t>potřeba vodíku</t>
  </si>
  <si>
    <t>Mv,kog</t>
  </si>
  <si>
    <t>t</t>
  </si>
  <si>
    <t>Roční výroba elektřiny</t>
  </si>
  <si>
    <t>Množství vyrobeného tepla</t>
  </si>
  <si>
    <t>Wkog,t</t>
  </si>
  <si>
    <t>Množství vyrobení elektřiny</t>
  </si>
  <si>
    <t>Wkog,e</t>
  </si>
  <si>
    <t>roční výroba elektřiny kog. jed.</t>
  </si>
  <si>
    <t>cena elektřiny - tarif D O2d</t>
  </si>
  <si>
    <t>Cel</t>
  </si>
  <si>
    <t>roční úspora</t>
  </si>
  <si>
    <t>MWh/r</t>
  </si>
  <si>
    <t>Wkog,e [MWh]</t>
  </si>
  <si>
    <t>roční úspora elektřiny</t>
  </si>
  <si>
    <t>tempo růstu cen elektřiny</t>
  </si>
  <si>
    <t>provozní výnosy - prodej tepla</t>
  </si>
  <si>
    <t>Citlivostní analýza na ceně kogeneračních jednotek</t>
  </si>
  <si>
    <t>Změna ceny kogen. jednotek</t>
  </si>
  <si>
    <t>Souhrnná cena kog. jednotek</t>
  </si>
  <si>
    <t>Cena za kog. jednotky</t>
  </si>
  <si>
    <t>změna ceny 1 GJ</t>
  </si>
  <si>
    <t>KOGENERACE</t>
  </si>
</sst>
</file>

<file path=xl/styles.xml><?xml version="1.0" encoding="utf-8"?>
<styleSheet xmlns="http://schemas.openxmlformats.org/spreadsheetml/2006/main">
  <numFmts count="4">
    <numFmt numFmtId="6" formatCode="#,##0\ &quot;Kč&quot;;[Red]\-#,##0\ &quot;Kč&quot;"/>
    <numFmt numFmtId="164" formatCode="0.0"/>
    <numFmt numFmtId="165" formatCode="#,##0.0"/>
    <numFmt numFmtId="166" formatCode="0.00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left" indent="2"/>
    </xf>
    <xf numFmtId="0" fontId="1" fillId="0" borderId="0" xfId="0" applyFont="1"/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right" indent="2"/>
    </xf>
    <xf numFmtId="3" fontId="0" fillId="0" borderId="1" xfId="0" applyNumberFormat="1" applyBorder="1" applyAlignment="1">
      <alignment horizontal="right" indent="2"/>
    </xf>
    <xf numFmtId="0" fontId="0" fillId="0" borderId="1" xfId="0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3" fontId="1" fillId="0" borderId="1" xfId="0" applyNumberFormat="1" applyFont="1" applyBorder="1" applyAlignment="1">
      <alignment horizontal="right" indent="2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 indent="2"/>
    </xf>
    <xf numFmtId="0" fontId="1" fillId="0" borderId="1" xfId="0" applyFont="1" applyBorder="1" applyAlignment="1">
      <alignment horizontal="left" wrapText="1" indent="1"/>
    </xf>
    <xf numFmtId="0" fontId="0" fillId="0" borderId="0" xfId="0" applyBorder="1"/>
    <xf numFmtId="4" fontId="0" fillId="0" borderId="0" xfId="0" applyNumberFormat="1"/>
    <xf numFmtId="0" fontId="0" fillId="2" borderId="0" xfId="0" applyFill="1"/>
    <xf numFmtId="0" fontId="0" fillId="4" borderId="0" xfId="0" applyFill="1"/>
    <xf numFmtId="3" fontId="0" fillId="4" borderId="0" xfId="0" applyNumberFormat="1" applyFill="1"/>
    <xf numFmtId="164" fontId="0" fillId="0" borderId="0" xfId="0" applyNumberFormat="1"/>
    <xf numFmtId="0" fontId="0" fillId="0" borderId="0" xfId="0" applyFont="1"/>
    <xf numFmtId="9" fontId="0" fillId="0" borderId="0" xfId="0" applyNumberFormat="1"/>
    <xf numFmtId="6" fontId="1" fillId="0" borderId="0" xfId="0" applyNumberFormat="1" applyFont="1"/>
    <xf numFmtId="2" fontId="1" fillId="3" borderId="0" xfId="0" applyNumberFormat="1" applyFont="1" applyFill="1"/>
    <xf numFmtId="9" fontId="0" fillId="4" borderId="0" xfId="0" applyNumberFormat="1" applyFill="1"/>
    <xf numFmtId="164" fontId="0" fillId="4" borderId="0" xfId="0" applyNumberFormat="1" applyFill="1"/>
    <xf numFmtId="3" fontId="1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0" fillId="2" borderId="0" xfId="0" applyFont="1" applyFill="1"/>
    <xf numFmtId="164" fontId="0" fillId="2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3" fontId="0" fillId="0" borderId="1" xfId="0" applyNumberFormat="1" applyFont="1" applyBorder="1" applyAlignment="1">
      <alignment horizontal="right" indent="1"/>
    </xf>
    <xf numFmtId="0" fontId="0" fillId="0" borderId="1" xfId="0" applyFont="1" applyFill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1" xfId="0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0" fontId="0" fillId="0" borderId="0" xfId="0" applyFill="1" applyBorder="1" applyAlignment="1">
      <alignment horizontal="left" inden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0" fillId="0" borderId="1" xfId="0" applyBorder="1" applyAlignment="1">
      <alignment horizontal="right" indent="2"/>
    </xf>
    <xf numFmtId="1" fontId="0" fillId="0" borderId="1" xfId="0" applyNumberFormat="1" applyBorder="1" applyAlignment="1">
      <alignment horizontal="right" indent="2"/>
    </xf>
    <xf numFmtId="0" fontId="1" fillId="0" borderId="1" xfId="0" applyFont="1" applyBorder="1" applyAlignment="1">
      <alignment horizontal="right" indent="1"/>
    </xf>
    <xf numFmtId="0" fontId="1" fillId="0" borderId="0" xfId="0" applyFont="1" applyFill="1" applyBorder="1" applyAlignment="1">
      <alignment horizontal="left" indent="1"/>
    </xf>
    <xf numFmtId="0" fontId="0" fillId="3" borderId="0" xfId="0" applyFill="1"/>
    <xf numFmtId="0" fontId="0" fillId="5" borderId="0" xfId="0" applyFill="1"/>
    <xf numFmtId="2" fontId="0" fillId="3" borderId="0" xfId="0" applyNumberFormat="1" applyFill="1"/>
    <xf numFmtId="2" fontId="0" fillId="5" borderId="0" xfId="0" applyNumberFormat="1" applyFill="1"/>
    <xf numFmtId="3" fontId="0" fillId="5" borderId="0" xfId="0" applyNumberFormat="1" applyFill="1"/>
    <xf numFmtId="4" fontId="0" fillId="5" borderId="0" xfId="0" applyNumberFormat="1" applyFill="1"/>
    <xf numFmtId="1" fontId="0" fillId="0" borderId="0" xfId="0" applyNumberFormat="1"/>
    <xf numFmtId="3" fontId="0" fillId="5" borderId="1" xfId="0" applyNumberFormat="1" applyFill="1" applyBorder="1"/>
    <xf numFmtId="166" fontId="0" fillId="0" borderId="0" xfId="0" applyNumberFormat="1"/>
    <xf numFmtId="0" fontId="0" fillId="0" borderId="1" xfId="0" applyBorder="1" applyAlignment="1">
      <alignment horizontal="center"/>
    </xf>
    <xf numFmtId="164" fontId="0" fillId="5" borderId="0" xfId="0" applyNumberFormat="1" applyFill="1"/>
    <xf numFmtId="0" fontId="1" fillId="2" borderId="0" xfId="0" applyFont="1" applyFill="1"/>
    <xf numFmtId="2" fontId="1" fillId="2" borderId="0" xfId="0" applyNumberFormat="1" applyFont="1" applyFill="1"/>
    <xf numFmtId="2" fontId="1" fillId="5" borderId="0" xfId="0" applyNumberFormat="1" applyFont="1" applyFill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Citlivostní</a:t>
            </a:r>
            <a:r>
              <a:rPr lang="cs-CZ" baseline="0"/>
              <a:t> analýza ceny 1 GJ na změně cen kogeneračních jednotek 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Cena 1 GJ</c:v>
          </c:tx>
          <c:dPt>
            <c:idx val="4"/>
            <c:marker>
              <c:symbol val="square"/>
              <c:size val="9"/>
              <c:spPr>
                <a:solidFill>
                  <a:schemeClr val="accent1"/>
                </a:solidFill>
              </c:spPr>
            </c:marker>
          </c:dPt>
          <c:dLbls>
            <c:dLbl>
              <c:idx val="4"/>
              <c:layout>
                <c:manualLayout>
                  <c:x val="-6.8587105624142684E-3"/>
                  <c:y val="-4.6012269938650409E-2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cs-CZ"/>
                </a:p>
              </c:txPr>
              <c:showVal val="1"/>
            </c:dLbl>
            <c:delete val="1"/>
          </c:dLbls>
          <c:cat>
            <c:numRef>
              <c:f>'citlivostní analýza'!$B$3:$B$11</c:f>
              <c:numCache>
                <c:formatCode>0%</c:formatCode>
                <c:ptCount val="9"/>
                <c:pt idx="0">
                  <c:v>0.4</c:v>
                </c:pt>
                <c:pt idx="1">
                  <c:v>0.3</c:v>
                </c:pt>
                <c:pt idx="2">
                  <c:v>0.2</c:v>
                </c:pt>
                <c:pt idx="3">
                  <c:v>0.1</c:v>
                </c:pt>
                <c:pt idx="4">
                  <c:v>0</c:v>
                </c:pt>
                <c:pt idx="5">
                  <c:v>-0.1</c:v>
                </c:pt>
                <c:pt idx="6">
                  <c:v>-0.2</c:v>
                </c:pt>
                <c:pt idx="7">
                  <c:v>-0.3</c:v>
                </c:pt>
                <c:pt idx="8">
                  <c:v>-0.4</c:v>
                </c:pt>
              </c:numCache>
            </c:numRef>
          </c:cat>
          <c:val>
            <c:numRef>
              <c:f>'citlivostní analýza'!$D$3:$D$11</c:f>
              <c:numCache>
                <c:formatCode>#,##0</c:formatCode>
                <c:ptCount val="9"/>
                <c:pt idx="0">
                  <c:v>1116.2344175683008</c:v>
                </c:pt>
                <c:pt idx="1">
                  <c:v>1057.3313789581375</c:v>
                </c:pt>
                <c:pt idx="2">
                  <c:v>998.48582142373346</c:v>
                </c:pt>
                <c:pt idx="3">
                  <c:v>940.08068205141353</c:v>
                </c:pt>
                <c:pt idx="4">
                  <c:v>881.85838634830759</c:v>
                </c:pt>
                <c:pt idx="5">
                  <c:v>823.9373041688691</c:v>
                </c:pt>
                <c:pt idx="6">
                  <c:v>766.39932927442851</c:v>
                </c:pt>
                <c:pt idx="7">
                  <c:v>709.1273705322335</c:v>
                </c:pt>
                <c:pt idx="8">
                  <c:v>652.17592912966802</c:v>
                </c:pt>
              </c:numCache>
            </c:numRef>
          </c:val>
        </c:ser>
        <c:marker val="1"/>
        <c:axId val="96393472"/>
        <c:axId val="97005952"/>
      </c:lineChart>
      <c:catAx>
        <c:axId val="96393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Cena kogeneračních jednotek</a:t>
                </a:r>
              </a:p>
            </c:rich>
          </c:tx>
          <c:layout/>
        </c:title>
        <c:numFmt formatCode="0%" sourceLinked="1"/>
        <c:tickLblPos val="nextTo"/>
        <c:crossAx val="97005952"/>
        <c:crosses val="autoZero"/>
        <c:auto val="1"/>
        <c:lblAlgn val="ctr"/>
        <c:lblOffset val="100"/>
      </c:catAx>
      <c:valAx>
        <c:axId val="97005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Cena vyrobeného</a:t>
                </a:r>
                <a:r>
                  <a:rPr lang="cs-CZ" baseline="0"/>
                  <a:t> 1 GJ</a:t>
                </a:r>
                <a:endParaRPr lang="cs-CZ"/>
              </a:p>
            </c:rich>
          </c:tx>
          <c:layout/>
        </c:title>
        <c:numFmt formatCode="#,##0" sourceLinked="1"/>
        <c:tickLblPos val="nextTo"/>
        <c:crossAx val="96393472"/>
        <c:crosses val="autoZero"/>
        <c:crossBetween val="midCat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12</xdr:row>
      <xdr:rowOff>114300</xdr:rowOff>
    </xdr:from>
    <xdr:to>
      <xdr:col>8</xdr:col>
      <xdr:colOff>594360</xdr:colOff>
      <xdr:row>39</xdr:row>
      <xdr:rowOff>144780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p_v&#253;po&#269;t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statní"/>
      <sheetName val="TUV"/>
      <sheetName val="elektroinstalace"/>
      <sheetName val="potřeba tepla"/>
      <sheetName val="diskont"/>
      <sheetName val="VTE"/>
      <sheetName val="výsledky"/>
    </sheetNames>
    <sheetDataSet>
      <sheetData sheetId="0"/>
      <sheetData sheetId="1"/>
      <sheetData sheetId="2"/>
      <sheetData sheetId="3">
        <row r="16">
          <cell r="F16">
            <v>2316.2195333333334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opLeftCell="A4" workbookViewId="0">
      <selection activeCell="A12" sqref="A12"/>
    </sheetView>
  </sheetViews>
  <sheetFormatPr defaultRowHeight="14.4"/>
  <cols>
    <col min="1" max="1" width="24.44140625" customWidth="1"/>
    <col min="2" max="2" width="34.6640625" customWidth="1"/>
    <col min="3" max="3" width="17.33203125" customWidth="1"/>
    <col min="4" max="4" width="13.77734375" customWidth="1"/>
    <col min="5" max="5" width="10.77734375" customWidth="1"/>
  </cols>
  <sheetData>
    <row r="1" spans="1:6">
      <c r="A1" s="11" t="s">
        <v>0</v>
      </c>
      <c r="B1" s="33" t="s">
        <v>136</v>
      </c>
      <c r="C1" s="12" t="s">
        <v>139</v>
      </c>
      <c r="D1" s="12" t="s">
        <v>132</v>
      </c>
      <c r="F1" s="13"/>
    </row>
    <row r="2" spans="1:6">
      <c r="A2" s="10" t="s">
        <v>1</v>
      </c>
      <c r="B2" s="4" t="s">
        <v>10</v>
      </c>
      <c r="C2" s="4" t="s">
        <v>10</v>
      </c>
      <c r="D2" s="4"/>
    </row>
    <row r="3" spans="1:6">
      <c r="A3" s="1" t="s">
        <v>2</v>
      </c>
      <c r="B3" s="34" t="s">
        <v>131</v>
      </c>
      <c r="C3" s="5">
        <f>D3*28/1000</f>
        <v>196</v>
      </c>
      <c r="D3" s="40">
        <v>7000</v>
      </c>
      <c r="F3" t="s">
        <v>129</v>
      </c>
    </row>
    <row r="4" spans="1:6">
      <c r="A4" s="1" t="s">
        <v>3</v>
      </c>
      <c r="B4" s="4"/>
      <c r="C4" s="5">
        <f>80*C3</f>
        <v>15680</v>
      </c>
      <c r="D4" s="39">
        <f>80*D3</f>
        <v>560000</v>
      </c>
    </row>
    <row r="5" spans="1:6">
      <c r="A5" s="10" t="s">
        <v>4</v>
      </c>
      <c r="B5" s="4" t="s">
        <v>10</v>
      </c>
      <c r="C5" s="4" t="s">
        <v>10</v>
      </c>
      <c r="D5" s="38"/>
    </row>
    <row r="6" spans="1:6">
      <c r="A6" s="1" t="s">
        <v>5</v>
      </c>
      <c r="B6" s="4" t="s">
        <v>135</v>
      </c>
      <c r="C6" s="5">
        <f t="shared" ref="C6:C11" si="0">D6*28/1000</f>
        <v>448</v>
      </c>
      <c r="D6" s="41">
        <v>16000</v>
      </c>
      <c r="F6" t="s">
        <v>134</v>
      </c>
    </row>
    <row r="7" spans="1:6">
      <c r="A7" s="1" t="s">
        <v>130</v>
      </c>
      <c r="B7" s="4" t="s">
        <v>131</v>
      </c>
      <c r="C7" s="5">
        <f t="shared" si="0"/>
        <v>196</v>
      </c>
      <c r="D7" s="40">
        <v>7000</v>
      </c>
    </row>
    <row r="8" spans="1:6">
      <c r="A8" s="1" t="s">
        <v>6</v>
      </c>
      <c r="B8" s="4" t="s">
        <v>133</v>
      </c>
      <c r="C8" s="5">
        <f t="shared" si="0"/>
        <v>392</v>
      </c>
      <c r="D8" s="42">
        <v>14000</v>
      </c>
      <c r="F8" t="s">
        <v>134</v>
      </c>
    </row>
    <row r="9" spans="1:6" ht="28.8">
      <c r="A9" s="14" t="s">
        <v>7</v>
      </c>
      <c r="B9" s="4" t="s">
        <v>131</v>
      </c>
      <c r="C9" s="5">
        <f t="shared" si="0"/>
        <v>196</v>
      </c>
      <c r="D9" s="40">
        <v>7000</v>
      </c>
    </row>
    <row r="10" spans="1:6">
      <c r="A10" s="1" t="s">
        <v>8</v>
      </c>
      <c r="B10" s="4" t="s">
        <v>131</v>
      </c>
      <c r="C10" s="5">
        <f t="shared" si="0"/>
        <v>196</v>
      </c>
      <c r="D10" s="40">
        <v>7000</v>
      </c>
    </row>
    <row r="11" spans="1:6">
      <c r="A11" s="1" t="s">
        <v>9</v>
      </c>
      <c r="B11" s="4" t="s">
        <v>131</v>
      </c>
      <c r="C11" s="5">
        <f t="shared" si="0"/>
        <v>196</v>
      </c>
      <c r="D11" s="40">
        <v>7000</v>
      </c>
    </row>
    <row r="12" spans="1:6">
      <c r="A12" s="8" t="s">
        <v>217</v>
      </c>
      <c r="B12" s="4" t="s">
        <v>10</v>
      </c>
      <c r="C12" s="59">
        <f>SUM(C4:C11)</f>
        <v>17304</v>
      </c>
      <c r="D12" s="43">
        <f>ROUND(SUM(D4:D11),-3)</f>
        <v>618000</v>
      </c>
    </row>
    <row r="13" spans="1:6">
      <c r="A13" s="7" t="s">
        <v>137</v>
      </c>
      <c r="B13" s="35">
        <v>30</v>
      </c>
    </row>
    <row r="14" spans="1:6">
      <c r="A14" s="7" t="s">
        <v>146</v>
      </c>
      <c r="B14" s="37">
        <f>C12*(B13/100)</f>
        <v>5191.2</v>
      </c>
    </row>
    <row r="15" spans="1:6" ht="28.8">
      <c r="A15" s="15" t="s">
        <v>138</v>
      </c>
      <c r="B15" s="36">
        <f>(C12+B14)</f>
        <v>22495.200000000001</v>
      </c>
    </row>
    <row r="18" spans="1:22">
      <c r="A18" s="2" t="s">
        <v>140</v>
      </c>
      <c r="M18" t="s">
        <v>157</v>
      </c>
    </row>
    <row r="19" spans="1:22">
      <c r="A19" t="s">
        <v>14</v>
      </c>
      <c r="B19">
        <v>2014</v>
      </c>
      <c r="C19">
        <v>2015</v>
      </c>
      <c r="D19">
        <v>2016</v>
      </c>
      <c r="E19">
        <v>2017</v>
      </c>
      <c r="F19">
        <v>2018</v>
      </c>
      <c r="G19">
        <v>2019</v>
      </c>
      <c r="H19">
        <v>2020</v>
      </c>
      <c r="I19">
        <v>2021</v>
      </c>
      <c r="J19">
        <v>2022</v>
      </c>
      <c r="K19">
        <v>2023</v>
      </c>
      <c r="L19">
        <v>2024</v>
      </c>
      <c r="M19">
        <v>2025</v>
      </c>
      <c r="N19">
        <v>2026</v>
      </c>
      <c r="O19">
        <v>2027</v>
      </c>
      <c r="P19">
        <v>2028</v>
      </c>
      <c r="Q19">
        <v>2029</v>
      </c>
      <c r="R19">
        <v>2030</v>
      </c>
      <c r="S19">
        <v>2031</v>
      </c>
      <c r="T19">
        <v>2032</v>
      </c>
      <c r="U19">
        <v>2033</v>
      </c>
      <c r="V19">
        <v>2034</v>
      </c>
    </row>
    <row r="20" spans="1:22">
      <c r="A20" t="s">
        <v>13</v>
      </c>
      <c r="B20">
        <v>0</v>
      </c>
      <c r="C20">
        <v>1</v>
      </c>
      <c r="D20">
        <v>2</v>
      </c>
      <c r="E20">
        <v>3</v>
      </c>
      <c r="F20">
        <v>4</v>
      </c>
      <c r="G20">
        <v>5</v>
      </c>
      <c r="H20">
        <v>6</v>
      </c>
      <c r="I20">
        <v>7</v>
      </c>
      <c r="J20">
        <v>8</v>
      </c>
      <c r="K20">
        <v>9</v>
      </c>
      <c r="L20">
        <v>10</v>
      </c>
      <c r="M20">
        <v>11</v>
      </c>
      <c r="N20">
        <v>12</v>
      </c>
      <c r="O20">
        <v>13</v>
      </c>
      <c r="P20">
        <v>14</v>
      </c>
      <c r="Q20">
        <v>15</v>
      </c>
      <c r="R20">
        <v>16</v>
      </c>
      <c r="S20">
        <v>17</v>
      </c>
      <c r="T20">
        <v>18</v>
      </c>
      <c r="U20">
        <v>19</v>
      </c>
      <c r="V20">
        <v>20</v>
      </c>
    </row>
    <row r="21" spans="1:22">
      <c r="A21" t="s">
        <v>12</v>
      </c>
      <c r="B21" s="18" t="s">
        <v>64</v>
      </c>
      <c r="C21" s="18">
        <f>C12/10</f>
        <v>1730.4</v>
      </c>
      <c r="D21" s="18">
        <f t="shared" ref="D21:L21" si="1">(2*(C23))/($M$20-C20)</f>
        <v>3114.7200000000003</v>
      </c>
      <c r="E21" s="18">
        <f t="shared" si="1"/>
        <v>2768.64</v>
      </c>
      <c r="F21" s="18">
        <f t="shared" si="1"/>
        <v>2422.56</v>
      </c>
      <c r="G21" s="18">
        <f t="shared" si="1"/>
        <v>2076.48</v>
      </c>
      <c r="H21" s="18">
        <f t="shared" si="1"/>
        <v>1730.4000000000003</v>
      </c>
      <c r="I21" s="18">
        <f t="shared" si="1"/>
        <v>1384.3200000000004</v>
      </c>
      <c r="J21" s="18">
        <f t="shared" si="1"/>
        <v>1038.2400000000007</v>
      </c>
      <c r="K21" s="18">
        <f t="shared" si="1"/>
        <v>692.16000000000111</v>
      </c>
      <c r="L21" s="18">
        <f t="shared" si="1"/>
        <v>346.08000000000175</v>
      </c>
      <c r="M21" s="18">
        <f>C21</f>
        <v>1730.4</v>
      </c>
      <c r="N21" s="18">
        <f t="shared" ref="N21:V21" si="2">D21</f>
        <v>3114.7200000000003</v>
      </c>
      <c r="O21" s="18">
        <f t="shared" si="2"/>
        <v>2768.64</v>
      </c>
      <c r="P21" s="18">
        <f t="shared" si="2"/>
        <v>2422.56</v>
      </c>
      <c r="Q21" s="18">
        <f t="shared" si="2"/>
        <v>2076.48</v>
      </c>
      <c r="R21" s="18">
        <f t="shared" si="2"/>
        <v>1730.4000000000003</v>
      </c>
      <c r="S21" s="18">
        <f t="shared" si="2"/>
        <v>1384.3200000000004</v>
      </c>
      <c r="T21" s="18">
        <f t="shared" si="2"/>
        <v>1038.2400000000007</v>
      </c>
      <c r="U21" s="18">
        <f t="shared" si="2"/>
        <v>692.16000000000111</v>
      </c>
      <c r="V21" s="18">
        <f t="shared" si="2"/>
        <v>346.08000000000175</v>
      </c>
    </row>
    <row r="22" spans="1:22">
      <c r="B22" t="s">
        <v>62</v>
      </c>
      <c r="C22">
        <f>C21</f>
        <v>1730.4</v>
      </c>
      <c r="D22">
        <f>C22+D21</f>
        <v>4845.1200000000008</v>
      </c>
      <c r="E22">
        <f t="shared" ref="E22:L22" si="3">D22+E21</f>
        <v>7613.76</v>
      </c>
      <c r="F22">
        <f t="shared" si="3"/>
        <v>10036.32</v>
      </c>
      <c r="G22">
        <f t="shared" si="3"/>
        <v>12112.8</v>
      </c>
      <c r="H22">
        <f t="shared" si="3"/>
        <v>13843.199999999999</v>
      </c>
      <c r="I22">
        <f t="shared" si="3"/>
        <v>15227.519999999999</v>
      </c>
      <c r="J22">
        <f t="shared" si="3"/>
        <v>16265.759999999998</v>
      </c>
      <c r="K22">
        <f t="shared" si="3"/>
        <v>16957.919999999998</v>
      </c>
      <c r="L22">
        <f t="shared" si="3"/>
        <v>17304</v>
      </c>
    </row>
    <row r="23" spans="1:22">
      <c r="B23" t="s">
        <v>63</v>
      </c>
      <c r="C23" s="3">
        <f t="shared" ref="C23:L23" si="4">$C$12-C22</f>
        <v>15573.6</v>
      </c>
      <c r="D23" s="3">
        <f t="shared" si="4"/>
        <v>12458.88</v>
      </c>
      <c r="E23" s="3">
        <f t="shared" si="4"/>
        <v>9690.24</v>
      </c>
      <c r="F23" s="3">
        <f t="shared" si="4"/>
        <v>7267.68</v>
      </c>
      <c r="G23" s="3">
        <f t="shared" si="4"/>
        <v>5191.2000000000007</v>
      </c>
      <c r="H23" s="3">
        <f t="shared" si="4"/>
        <v>3460.8000000000011</v>
      </c>
      <c r="I23" s="3">
        <f t="shared" si="4"/>
        <v>2076.4800000000014</v>
      </c>
      <c r="J23" s="3">
        <f t="shared" si="4"/>
        <v>1038.2400000000016</v>
      </c>
      <c r="K23" s="3">
        <f t="shared" si="4"/>
        <v>346.08000000000175</v>
      </c>
      <c r="L23" s="3">
        <f t="shared" si="4"/>
        <v>0</v>
      </c>
    </row>
    <row r="26" spans="1:22">
      <c r="A26" s="2" t="s">
        <v>147</v>
      </c>
    </row>
    <row r="27" spans="1:22">
      <c r="A27" t="s">
        <v>148</v>
      </c>
      <c r="B27" s="3">
        <f>B15</f>
        <v>22495.200000000001</v>
      </c>
      <c r="C27" t="s">
        <v>144</v>
      </c>
    </row>
    <row r="28" spans="1:22">
      <c r="A28" t="s">
        <v>149</v>
      </c>
      <c r="B28" s="3">
        <f>'společná investice'!B11</f>
        <v>81071</v>
      </c>
      <c r="C28" t="s">
        <v>144</v>
      </c>
    </row>
    <row r="29" spans="1:22">
      <c r="A29" s="2" t="s">
        <v>128</v>
      </c>
      <c r="B29" s="28">
        <f>B27+B28</f>
        <v>103566.2</v>
      </c>
      <c r="C29" s="2" t="s">
        <v>144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workbookViewId="0">
      <selection activeCell="B13" sqref="B13"/>
    </sheetView>
  </sheetViews>
  <sheetFormatPr defaultRowHeight="14.4"/>
  <cols>
    <col min="1" max="1" width="27.33203125" customWidth="1"/>
    <col min="2" max="2" width="14.109375" customWidth="1"/>
    <col min="3" max="3" width="30" customWidth="1"/>
  </cols>
  <sheetData>
    <row r="1" spans="1:5" ht="28.8">
      <c r="A1" s="33" t="s">
        <v>115</v>
      </c>
      <c r="B1" s="33" t="s">
        <v>125</v>
      </c>
      <c r="C1" s="12" t="s">
        <v>126</v>
      </c>
      <c r="D1" s="12" t="s">
        <v>127</v>
      </c>
      <c r="E1" t="s">
        <v>141</v>
      </c>
    </row>
    <row r="2" spans="1:5">
      <c r="A2" s="7" t="s">
        <v>116</v>
      </c>
      <c r="B2" s="6">
        <v>65000</v>
      </c>
      <c r="C2" s="4">
        <v>2.5</v>
      </c>
      <c r="D2" s="4">
        <v>20</v>
      </c>
      <c r="E2">
        <v>4</v>
      </c>
    </row>
    <row r="3" spans="1:5">
      <c r="A3" s="7" t="s">
        <v>117</v>
      </c>
      <c r="B3" s="6">
        <v>12500</v>
      </c>
      <c r="C3" s="4">
        <v>5</v>
      </c>
      <c r="D3" s="4">
        <v>10</v>
      </c>
      <c r="E3">
        <v>3</v>
      </c>
    </row>
    <row r="4" spans="1:5">
      <c r="A4" s="7" t="s">
        <v>118</v>
      </c>
      <c r="B4" s="6">
        <v>150</v>
      </c>
      <c r="C4" s="4">
        <v>2</v>
      </c>
      <c r="D4" s="4">
        <v>10</v>
      </c>
      <c r="E4">
        <v>3</v>
      </c>
    </row>
    <row r="5" spans="1:5">
      <c r="A5" s="7" t="s">
        <v>119</v>
      </c>
      <c r="B5" s="6">
        <v>10</v>
      </c>
      <c r="C5" s="4">
        <v>1</v>
      </c>
      <c r="D5" s="4">
        <v>20</v>
      </c>
      <c r="E5">
        <v>3</v>
      </c>
    </row>
    <row r="6" spans="1:5">
      <c r="A6" s="7" t="s">
        <v>120</v>
      </c>
      <c r="B6" s="6">
        <v>200</v>
      </c>
      <c r="C6" s="4">
        <v>0.5</v>
      </c>
      <c r="D6" s="4">
        <v>20</v>
      </c>
      <c r="E6">
        <v>3</v>
      </c>
    </row>
    <row r="7" spans="1:5">
      <c r="A7" s="7" t="s">
        <v>121</v>
      </c>
      <c r="B7" s="6">
        <v>1200</v>
      </c>
      <c r="C7" s="4">
        <v>0.5</v>
      </c>
      <c r="D7" s="4">
        <v>20</v>
      </c>
      <c r="E7">
        <v>4</v>
      </c>
    </row>
    <row r="8" spans="1:5">
      <c r="A8" s="7" t="s">
        <v>122</v>
      </c>
      <c r="B8" s="6">
        <v>150</v>
      </c>
      <c r="C8" s="4">
        <v>1</v>
      </c>
      <c r="D8" s="4">
        <v>20</v>
      </c>
      <c r="E8">
        <v>3</v>
      </c>
    </row>
    <row r="9" spans="1:5">
      <c r="A9" s="7" t="s">
        <v>123</v>
      </c>
      <c r="B9" s="6">
        <v>1800</v>
      </c>
      <c r="C9" s="4">
        <v>2</v>
      </c>
      <c r="D9" s="4">
        <v>30</v>
      </c>
      <c r="E9">
        <v>4</v>
      </c>
    </row>
    <row r="10" spans="1:5">
      <c r="A10" s="7" t="s">
        <v>124</v>
      </c>
      <c r="B10" s="6">
        <v>61</v>
      </c>
      <c r="C10" s="4">
        <v>1</v>
      </c>
      <c r="D10" s="4">
        <v>20</v>
      </c>
      <c r="E10">
        <v>4</v>
      </c>
    </row>
    <row r="11" spans="1:5">
      <c r="A11" s="8" t="s">
        <v>128</v>
      </c>
      <c r="B11" s="9">
        <f>SUM(B2:B10)</f>
        <v>81071</v>
      </c>
      <c r="C11" s="4" t="s">
        <v>10</v>
      </c>
      <c r="D11" s="4" t="s">
        <v>10</v>
      </c>
    </row>
    <row r="13" spans="1:5">
      <c r="A13" s="44" t="s">
        <v>142</v>
      </c>
      <c r="B13" s="3">
        <f>B3+B4+B5+B6+B8</f>
        <v>13010</v>
      </c>
      <c r="C13" t="s">
        <v>144</v>
      </c>
    </row>
    <row r="14" spans="1:5">
      <c r="A14" s="44" t="s">
        <v>143</v>
      </c>
      <c r="B14" s="3">
        <f>B2+B7+B9+B10</f>
        <v>68061</v>
      </c>
      <c r="C14" t="s">
        <v>144</v>
      </c>
    </row>
    <row r="15" spans="1:5">
      <c r="A15" s="44" t="s">
        <v>158</v>
      </c>
      <c r="B15" s="3">
        <f>B3+B4</f>
        <v>12650</v>
      </c>
      <c r="C15" t="s">
        <v>144</v>
      </c>
    </row>
    <row r="17" spans="1:23">
      <c r="A17" s="2" t="s">
        <v>11</v>
      </c>
      <c r="M17" t="s">
        <v>159</v>
      </c>
    </row>
    <row r="18" spans="1:23">
      <c r="A18" t="s">
        <v>14</v>
      </c>
      <c r="B18">
        <v>2014</v>
      </c>
      <c r="C18">
        <v>2015</v>
      </c>
      <c r="D18">
        <v>2016</v>
      </c>
      <c r="E18">
        <v>2017</v>
      </c>
      <c r="F18">
        <v>2018</v>
      </c>
      <c r="G18">
        <v>2019</v>
      </c>
      <c r="H18">
        <v>2020</v>
      </c>
      <c r="I18">
        <v>2021</v>
      </c>
      <c r="J18">
        <v>2022</v>
      </c>
      <c r="K18">
        <v>2023</v>
      </c>
      <c r="L18">
        <v>2024</v>
      </c>
      <c r="M18">
        <v>2025</v>
      </c>
      <c r="N18">
        <v>2026</v>
      </c>
      <c r="O18">
        <v>2027</v>
      </c>
      <c r="P18">
        <v>2028</v>
      </c>
      <c r="Q18">
        <v>2029</v>
      </c>
      <c r="R18">
        <v>2030</v>
      </c>
      <c r="S18">
        <v>2031</v>
      </c>
      <c r="T18">
        <v>2032</v>
      </c>
      <c r="U18">
        <v>2033</v>
      </c>
      <c r="V18">
        <v>2034</v>
      </c>
    </row>
    <row r="19" spans="1:23">
      <c r="A19" t="s">
        <v>13</v>
      </c>
      <c r="B19">
        <v>0</v>
      </c>
      <c r="C19">
        <v>1</v>
      </c>
      <c r="D19">
        <v>2</v>
      </c>
      <c r="E19">
        <v>3</v>
      </c>
      <c r="F19">
        <v>4</v>
      </c>
      <c r="G19">
        <v>5</v>
      </c>
      <c r="H19">
        <v>6</v>
      </c>
      <c r="I19">
        <v>7</v>
      </c>
      <c r="J19">
        <v>8</v>
      </c>
      <c r="K19">
        <v>9</v>
      </c>
      <c r="L19">
        <v>10</v>
      </c>
      <c r="M19">
        <v>11</v>
      </c>
      <c r="N19">
        <v>12</v>
      </c>
      <c r="O19">
        <v>13</v>
      </c>
      <c r="P19">
        <v>14</v>
      </c>
      <c r="Q19">
        <v>15</v>
      </c>
      <c r="R19">
        <v>16</v>
      </c>
      <c r="S19">
        <v>17</v>
      </c>
      <c r="T19">
        <v>18</v>
      </c>
      <c r="U19">
        <v>19</v>
      </c>
      <c r="V19">
        <v>20</v>
      </c>
    </row>
    <row r="20" spans="1:23">
      <c r="B20" s="18" t="s">
        <v>64</v>
      </c>
      <c r="C20" s="18">
        <f>B13/10</f>
        <v>1301</v>
      </c>
      <c r="D20" s="18">
        <f>(2*(C22))/($M$19-C19)</f>
        <v>2341.8000000000002</v>
      </c>
      <c r="E20" s="18">
        <f t="shared" ref="E20:L20" si="0">(2*(D22))/($M$19-D19)</f>
        <v>2081.6000000000004</v>
      </c>
      <c r="F20" s="18">
        <f t="shared" si="0"/>
        <v>1821.3999999999999</v>
      </c>
      <c r="G20" s="18">
        <f t="shared" si="0"/>
        <v>1561.2</v>
      </c>
      <c r="H20" s="18">
        <f t="shared" si="0"/>
        <v>1301</v>
      </c>
      <c r="I20" s="18">
        <f t="shared" si="0"/>
        <v>1040.8</v>
      </c>
      <c r="J20" s="18">
        <f t="shared" si="0"/>
        <v>780.60000000000036</v>
      </c>
      <c r="K20" s="18">
        <f t="shared" si="0"/>
        <v>520.4000000000002</v>
      </c>
      <c r="L20" s="18">
        <f t="shared" si="0"/>
        <v>260.20000000000073</v>
      </c>
      <c r="M20">
        <f>B15/10</f>
        <v>1265</v>
      </c>
      <c r="N20" s="18">
        <f>(2*(M22))/($M$19-C19)</f>
        <v>2277</v>
      </c>
      <c r="O20" s="18">
        <f t="shared" ref="O20:V20" si="1">(2*(N22))/($M$19-D19)</f>
        <v>2024</v>
      </c>
      <c r="P20" s="18">
        <f t="shared" si="1"/>
        <v>1771</v>
      </c>
      <c r="Q20" s="18">
        <f t="shared" si="1"/>
        <v>1518</v>
      </c>
      <c r="R20" s="18">
        <f t="shared" si="1"/>
        <v>1265</v>
      </c>
      <c r="S20" s="18">
        <f t="shared" si="1"/>
        <v>1012</v>
      </c>
      <c r="T20" s="18">
        <f t="shared" si="1"/>
        <v>759</v>
      </c>
      <c r="U20" s="18">
        <f t="shared" si="1"/>
        <v>506</v>
      </c>
      <c r="V20" s="18">
        <f t="shared" si="1"/>
        <v>253</v>
      </c>
    </row>
    <row r="21" spans="1:23">
      <c r="B21" t="s">
        <v>62</v>
      </c>
      <c r="C21">
        <f>C20</f>
        <v>1301</v>
      </c>
      <c r="D21">
        <f>C21+D20</f>
        <v>3642.8</v>
      </c>
      <c r="E21">
        <f t="shared" ref="E21:L21" si="2">D21+E20</f>
        <v>5724.4000000000005</v>
      </c>
      <c r="F21">
        <f t="shared" si="2"/>
        <v>7545.8</v>
      </c>
      <c r="G21">
        <f t="shared" si="2"/>
        <v>9107</v>
      </c>
      <c r="H21">
        <f t="shared" si="2"/>
        <v>10408</v>
      </c>
      <c r="I21">
        <f t="shared" si="2"/>
        <v>11448.8</v>
      </c>
      <c r="J21">
        <f t="shared" si="2"/>
        <v>12229.4</v>
      </c>
      <c r="K21">
        <f t="shared" si="2"/>
        <v>12749.8</v>
      </c>
      <c r="L21">
        <f t="shared" si="2"/>
        <v>13010</v>
      </c>
      <c r="M21">
        <f>M20</f>
        <v>1265</v>
      </c>
      <c r="N21">
        <f>M21+N20</f>
        <v>3542</v>
      </c>
      <c r="O21">
        <f t="shared" ref="O21:V21" si="3">N21+O20</f>
        <v>5566</v>
      </c>
      <c r="P21">
        <f t="shared" si="3"/>
        <v>7337</v>
      </c>
      <c r="Q21">
        <f t="shared" si="3"/>
        <v>8855</v>
      </c>
      <c r="R21">
        <f t="shared" si="3"/>
        <v>10120</v>
      </c>
      <c r="S21">
        <f t="shared" si="3"/>
        <v>11132</v>
      </c>
      <c r="T21">
        <f t="shared" si="3"/>
        <v>11891</v>
      </c>
      <c r="U21">
        <f t="shared" si="3"/>
        <v>12397</v>
      </c>
      <c r="V21">
        <f t="shared" si="3"/>
        <v>12650</v>
      </c>
    </row>
    <row r="22" spans="1:23">
      <c r="B22" t="s">
        <v>63</v>
      </c>
      <c r="C22" s="3">
        <f>B13-C21</f>
        <v>11709</v>
      </c>
      <c r="D22" s="3">
        <f>$B$13-D21</f>
        <v>9367.2000000000007</v>
      </c>
      <c r="E22" s="3">
        <f t="shared" ref="E22:L22" si="4">$B$13-E21</f>
        <v>7285.5999999999995</v>
      </c>
      <c r="F22" s="3">
        <f t="shared" si="4"/>
        <v>5464.2</v>
      </c>
      <c r="G22" s="3">
        <f t="shared" si="4"/>
        <v>3903</v>
      </c>
      <c r="H22" s="3">
        <f t="shared" si="4"/>
        <v>2602</v>
      </c>
      <c r="I22" s="3">
        <f t="shared" si="4"/>
        <v>1561.2000000000007</v>
      </c>
      <c r="J22" s="3">
        <f t="shared" si="4"/>
        <v>780.60000000000036</v>
      </c>
      <c r="K22" s="3">
        <f t="shared" si="4"/>
        <v>260.20000000000073</v>
      </c>
      <c r="L22" s="3">
        <f t="shared" si="4"/>
        <v>0</v>
      </c>
      <c r="M22" s="3">
        <f>B15-M21</f>
        <v>11385</v>
      </c>
      <c r="N22" s="3">
        <f>$B$15-N21</f>
        <v>9108</v>
      </c>
      <c r="O22" s="3">
        <f t="shared" ref="O22:V22" si="5">$B$15-O21</f>
        <v>7084</v>
      </c>
      <c r="P22" s="3">
        <f t="shared" si="5"/>
        <v>5313</v>
      </c>
      <c r="Q22" s="3">
        <f t="shared" si="5"/>
        <v>3795</v>
      </c>
      <c r="R22" s="3">
        <f t="shared" si="5"/>
        <v>2530</v>
      </c>
      <c r="S22" s="3">
        <f t="shared" si="5"/>
        <v>1518</v>
      </c>
      <c r="T22" s="3">
        <f t="shared" si="5"/>
        <v>759</v>
      </c>
      <c r="U22" s="3">
        <f t="shared" si="5"/>
        <v>253</v>
      </c>
      <c r="V22" s="3">
        <f t="shared" si="5"/>
        <v>0</v>
      </c>
    </row>
    <row r="24" spans="1:23">
      <c r="A24" s="2" t="s">
        <v>11</v>
      </c>
    </row>
    <row r="25" spans="1:23">
      <c r="A25" t="s">
        <v>14</v>
      </c>
      <c r="B25">
        <v>2014</v>
      </c>
      <c r="C25">
        <v>2015</v>
      </c>
      <c r="D25">
        <v>2016</v>
      </c>
      <c r="E25">
        <v>2017</v>
      </c>
      <c r="F25">
        <v>2018</v>
      </c>
      <c r="G25">
        <v>2019</v>
      </c>
      <c r="H25">
        <v>2020</v>
      </c>
      <c r="I25">
        <v>2021</v>
      </c>
      <c r="J25">
        <v>2022</v>
      </c>
      <c r="K25">
        <v>2023</v>
      </c>
      <c r="L25">
        <v>2024</v>
      </c>
      <c r="M25">
        <v>2025</v>
      </c>
      <c r="N25">
        <v>2026</v>
      </c>
      <c r="O25">
        <v>2027</v>
      </c>
      <c r="P25">
        <v>2028</v>
      </c>
      <c r="Q25">
        <v>2029</v>
      </c>
      <c r="R25">
        <v>2030</v>
      </c>
      <c r="S25">
        <v>2031</v>
      </c>
      <c r="T25">
        <v>2032</v>
      </c>
      <c r="U25">
        <v>2033</v>
      </c>
      <c r="V25">
        <v>2034</v>
      </c>
      <c r="W25">
        <v>2035</v>
      </c>
    </row>
    <row r="26" spans="1:23">
      <c r="A26" t="s">
        <v>145</v>
      </c>
      <c r="B26">
        <v>0</v>
      </c>
      <c r="C26">
        <v>1</v>
      </c>
      <c r="D26">
        <v>2</v>
      </c>
      <c r="E26">
        <v>3</v>
      </c>
      <c r="F26">
        <v>4</v>
      </c>
      <c r="G26">
        <v>5</v>
      </c>
      <c r="H26">
        <v>6</v>
      </c>
      <c r="I26">
        <v>7</v>
      </c>
      <c r="J26">
        <v>8</v>
      </c>
      <c r="K26">
        <v>9</v>
      </c>
      <c r="L26">
        <v>10</v>
      </c>
      <c r="M26">
        <v>11</v>
      </c>
      <c r="N26">
        <v>12</v>
      </c>
      <c r="O26">
        <v>13</v>
      </c>
      <c r="P26">
        <v>14</v>
      </c>
      <c r="Q26">
        <v>15</v>
      </c>
      <c r="R26">
        <v>16</v>
      </c>
      <c r="S26">
        <v>17</v>
      </c>
      <c r="T26">
        <v>18</v>
      </c>
      <c r="U26">
        <v>19</v>
      </c>
      <c r="V26">
        <v>20</v>
      </c>
      <c r="W26">
        <v>21</v>
      </c>
    </row>
    <row r="27" spans="1:23">
      <c r="B27" s="18" t="s">
        <v>64</v>
      </c>
      <c r="C27" s="32">
        <f>B14/20</f>
        <v>3403.05</v>
      </c>
      <c r="D27" s="32">
        <f>(2*(C29))/($W$26-C26)</f>
        <v>6465.7950000000001</v>
      </c>
      <c r="E27" s="32">
        <f t="shared" ref="E27:W27" si="6">(2*(D29))/($W$26-D26)</f>
        <v>6125.49</v>
      </c>
      <c r="F27" s="32">
        <f t="shared" si="6"/>
        <v>5785.1850000000004</v>
      </c>
      <c r="G27" s="32">
        <f t="shared" si="6"/>
        <v>5444.8799999999992</v>
      </c>
      <c r="H27" s="32">
        <f t="shared" si="6"/>
        <v>5104.5749999999998</v>
      </c>
      <c r="I27" s="32">
        <f t="shared" si="6"/>
        <v>4764.2699999999995</v>
      </c>
      <c r="J27" s="32">
        <f t="shared" si="6"/>
        <v>4423.9649999999992</v>
      </c>
      <c r="K27" s="32">
        <f t="shared" si="6"/>
        <v>4083.6600000000003</v>
      </c>
      <c r="L27" s="32">
        <f t="shared" si="6"/>
        <v>3743.3549999999996</v>
      </c>
      <c r="M27" s="32">
        <f t="shared" si="6"/>
        <v>3403.0499999999988</v>
      </c>
      <c r="N27" s="32">
        <f t="shared" si="6"/>
        <v>3062.7449999999999</v>
      </c>
      <c r="O27" s="32">
        <f t="shared" si="6"/>
        <v>2722.4399999999991</v>
      </c>
      <c r="P27" s="32">
        <f t="shared" si="6"/>
        <v>2382.1349999999984</v>
      </c>
      <c r="Q27" s="32">
        <f t="shared" si="6"/>
        <v>2041.8299999999997</v>
      </c>
      <c r="R27" s="32">
        <f t="shared" si="6"/>
        <v>1701.524999999999</v>
      </c>
      <c r="S27" s="32">
        <f t="shared" si="6"/>
        <v>1361.2199999999982</v>
      </c>
      <c r="T27" s="32">
        <f t="shared" si="6"/>
        <v>1020.9150000000009</v>
      </c>
      <c r="U27" s="32">
        <f t="shared" si="6"/>
        <v>680.61000000000547</v>
      </c>
      <c r="V27" s="32">
        <f t="shared" si="6"/>
        <v>340.30500000000757</v>
      </c>
      <c r="W27" s="18">
        <f t="shared" si="6"/>
        <v>0</v>
      </c>
    </row>
    <row r="28" spans="1:23">
      <c r="B28" t="s">
        <v>62</v>
      </c>
      <c r="C28">
        <f>C27</f>
        <v>3403.05</v>
      </c>
      <c r="D28">
        <f>C28+D27</f>
        <v>9868.8450000000012</v>
      </c>
      <c r="E28">
        <f t="shared" ref="E28" si="7">D28+E27</f>
        <v>15994.335000000001</v>
      </c>
      <c r="F28">
        <f t="shared" ref="F28" si="8">E28+F27</f>
        <v>21779.52</v>
      </c>
      <c r="G28">
        <f t="shared" ref="G28" si="9">F28+G27</f>
        <v>27224.400000000001</v>
      </c>
      <c r="H28">
        <f t="shared" ref="H28" si="10">G28+H27</f>
        <v>32328.975000000002</v>
      </c>
      <c r="I28">
        <f t="shared" ref="I28" si="11">H28+I27</f>
        <v>37093.245000000003</v>
      </c>
      <c r="J28">
        <f t="shared" ref="J28" si="12">I28+J27</f>
        <v>41517.21</v>
      </c>
      <c r="K28">
        <f t="shared" ref="K28" si="13">J28+K27</f>
        <v>45600.87</v>
      </c>
      <c r="L28">
        <f t="shared" ref="L28:M28" si="14">K28+L27</f>
        <v>49344.225000000006</v>
      </c>
      <c r="M28">
        <f t="shared" si="14"/>
        <v>52747.275000000001</v>
      </c>
      <c r="N28">
        <f t="shared" ref="N28" si="15">M28+N27</f>
        <v>55810.020000000004</v>
      </c>
      <c r="O28">
        <f t="shared" ref="O28" si="16">N28+O27</f>
        <v>58532.460000000006</v>
      </c>
      <c r="P28">
        <f t="shared" ref="P28" si="17">O28+P27</f>
        <v>60914.595000000001</v>
      </c>
      <c r="Q28">
        <f t="shared" ref="Q28" si="18">P28+Q27</f>
        <v>62956.425000000003</v>
      </c>
      <c r="R28">
        <f t="shared" ref="R28" si="19">Q28+R27</f>
        <v>64657.950000000004</v>
      </c>
      <c r="S28">
        <f t="shared" ref="S28" si="20">R28+S27</f>
        <v>66019.17</v>
      </c>
      <c r="T28">
        <f t="shared" ref="T28" si="21">S28+T27</f>
        <v>67040.084999999992</v>
      </c>
      <c r="U28">
        <f t="shared" ref="U28" si="22">T28+U27</f>
        <v>67720.694999999992</v>
      </c>
      <c r="V28">
        <f t="shared" ref="V28" si="23">U28+V27</f>
        <v>68061</v>
      </c>
      <c r="W28">
        <f t="shared" ref="W28" si="24">V28+W27</f>
        <v>68061</v>
      </c>
    </row>
    <row r="29" spans="1:23">
      <c r="B29" t="s">
        <v>63</v>
      </c>
      <c r="C29" s="3">
        <f>B14-C28</f>
        <v>64657.95</v>
      </c>
      <c r="D29" s="3">
        <f>$B$14-D28</f>
        <v>58192.154999999999</v>
      </c>
      <c r="E29" s="3">
        <f t="shared" ref="E29:W29" si="25">$B$14-E28</f>
        <v>52066.665000000001</v>
      </c>
      <c r="F29" s="3">
        <f t="shared" si="25"/>
        <v>46281.479999999996</v>
      </c>
      <c r="G29" s="3">
        <f t="shared" si="25"/>
        <v>40836.6</v>
      </c>
      <c r="H29" s="3">
        <f t="shared" si="25"/>
        <v>35732.024999999994</v>
      </c>
      <c r="I29" s="3">
        <f t="shared" si="25"/>
        <v>30967.754999999997</v>
      </c>
      <c r="J29" s="3">
        <f t="shared" si="25"/>
        <v>26543.79</v>
      </c>
      <c r="K29" s="3">
        <f t="shared" si="25"/>
        <v>22460.129999999997</v>
      </c>
      <c r="L29" s="3">
        <f t="shared" si="25"/>
        <v>18716.774999999994</v>
      </c>
      <c r="M29" s="3">
        <f t="shared" si="25"/>
        <v>15313.724999999999</v>
      </c>
      <c r="N29" s="3">
        <f t="shared" si="25"/>
        <v>12250.979999999996</v>
      </c>
      <c r="O29" s="3">
        <f t="shared" si="25"/>
        <v>9528.5399999999936</v>
      </c>
      <c r="P29" s="3">
        <f t="shared" si="25"/>
        <v>7146.4049999999988</v>
      </c>
      <c r="Q29" s="3">
        <f t="shared" si="25"/>
        <v>5104.5749999999971</v>
      </c>
      <c r="R29" s="3">
        <f t="shared" si="25"/>
        <v>3403.0499999999956</v>
      </c>
      <c r="S29" s="3">
        <f t="shared" si="25"/>
        <v>2041.8300000000017</v>
      </c>
      <c r="T29" s="3">
        <f t="shared" si="25"/>
        <v>1020.9150000000081</v>
      </c>
      <c r="U29" s="3">
        <f t="shared" si="25"/>
        <v>340.30500000000757</v>
      </c>
      <c r="V29" s="3">
        <f t="shared" si="25"/>
        <v>0</v>
      </c>
      <c r="W29" s="3">
        <f t="shared" si="25"/>
        <v>0</v>
      </c>
    </row>
    <row r="31" spans="1:23">
      <c r="A31" s="2" t="s">
        <v>156</v>
      </c>
    </row>
    <row r="32" spans="1:23">
      <c r="B32" s="18" t="s">
        <v>64</v>
      </c>
      <c r="C32" s="21">
        <f>C20+C27</f>
        <v>4704.05</v>
      </c>
      <c r="D32" s="21">
        <f t="shared" ref="D32:W32" si="26">D20+D27</f>
        <v>8807.5950000000012</v>
      </c>
      <c r="E32" s="21">
        <f t="shared" si="26"/>
        <v>8207.09</v>
      </c>
      <c r="F32" s="21">
        <f t="shared" si="26"/>
        <v>7606.585</v>
      </c>
      <c r="G32" s="21">
        <f t="shared" si="26"/>
        <v>7006.079999999999</v>
      </c>
      <c r="H32" s="21">
        <f t="shared" si="26"/>
        <v>6405.5749999999998</v>
      </c>
      <c r="I32" s="21">
        <f t="shared" si="26"/>
        <v>5805.07</v>
      </c>
      <c r="J32" s="21">
        <f t="shared" si="26"/>
        <v>5204.5649999999996</v>
      </c>
      <c r="K32" s="21">
        <f t="shared" si="26"/>
        <v>4604.0600000000004</v>
      </c>
      <c r="L32" s="21">
        <f t="shared" si="26"/>
        <v>4003.5550000000003</v>
      </c>
      <c r="M32" s="21">
        <f t="shared" si="26"/>
        <v>4668.0499999999993</v>
      </c>
      <c r="N32" s="21">
        <f t="shared" si="26"/>
        <v>5339.7449999999999</v>
      </c>
      <c r="O32" s="21">
        <f t="shared" si="26"/>
        <v>4746.4399999999987</v>
      </c>
      <c r="P32" s="21">
        <f t="shared" si="26"/>
        <v>4153.1349999999984</v>
      </c>
      <c r="Q32" s="21">
        <f t="shared" si="26"/>
        <v>3559.83</v>
      </c>
      <c r="R32" s="21">
        <f t="shared" si="26"/>
        <v>2966.5249999999987</v>
      </c>
      <c r="S32" s="21">
        <f t="shared" si="26"/>
        <v>2373.2199999999984</v>
      </c>
      <c r="T32" s="21">
        <f t="shared" si="26"/>
        <v>1779.9150000000009</v>
      </c>
      <c r="U32" s="21">
        <f t="shared" si="26"/>
        <v>1186.6100000000056</v>
      </c>
      <c r="V32" s="21">
        <f t="shared" si="26"/>
        <v>593.30500000000757</v>
      </c>
      <c r="W32" s="21">
        <f t="shared" si="26"/>
        <v>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103"/>
  <sheetViews>
    <sheetView tabSelected="1" workbookViewId="0">
      <selection activeCell="G3" sqref="G3:I6"/>
    </sheetView>
  </sheetViews>
  <sheetFormatPr defaultRowHeight="14.4"/>
  <cols>
    <col min="1" max="1" width="25.44140625" customWidth="1"/>
    <col min="2" max="2" width="14.44140625" bestFit="1" customWidth="1"/>
    <col min="3" max="23" width="14.33203125" customWidth="1"/>
  </cols>
  <sheetData>
    <row r="2" spans="1:23" s="53" customFormat="1">
      <c r="A2" s="2" t="s">
        <v>24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23" s="53" customFormat="1">
      <c r="A3"/>
      <c r="B3"/>
      <c r="C3"/>
      <c r="D3"/>
      <c r="E3"/>
      <c r="F3"/>
      <c r="G3" s="66" t="s">
        <v>219</v>
      </c>
      <c r="H3" s="66"/>
      <c r="I3" s="66"/>
      <c r="J3"/>
      <c r="K3"/>
      <c r="L3"/>
      <c r="M3"/>
      <c r="N3"/>
    </row>
    <row r="4" spans="1:23" s="53" customFormat="1">
      <c r="A4" s="19" t="s">
        <v>79</v>
      </c>
      <c r="B4" s="19"/>
      <c r="C4" s="19"/>
      <c r="D4" s="19"/>
      <c r="E4" s="19" t="s">
        <v>89</v>
      </c>
      <c r="F4" s="19"/>
      <c r="G4" s="66"/>
      <c r="H4" s="66"/>
      <c r="I4" s="66"/>
      <c r="J4"/>
      <c r="K4"/>
      <c r="L4"/>
      <c r="M4"/>
      <c r="N4"/>
    </row>
    <row r="5" spans="1:23" s="53" customFormat="1">
      <c r="A5" s="19" t="s">
        <v>17</v>
      </c>
      <c r="B5" s="19"/>
      <c r="C5" s="19">
        <v>120</v>
      </c>
      <c r="D5" s="19" t="s">
        <v>18</v>
      </c>
      <c r="E5" s="27">
        <f>C5/3.6</f>
        <v>33.333333333333336</v>
      </c>
      <c r="F5" s="19" t="s">
        <v>110</v>
      </c>
      <c r="G5" s="66"/>
      <c r="H5" s="66"/>
      <c r="I5" s="66"/>
      <c r="J5"/>
      <c r="K5"/>
      <c r="L5"/>
      <c r="M5"/>
      <c r="N5"/>
    </row>
    <row r="6" spans="1:23" s="53" customFormat="1">
      <c r="A6" s="19" t="s">
        <v>111</v>
      </c>
      <c r="B6" s="19"/>
      <c r="C6" s="19">
        <v>0.09</v>
      </c>
      <c r="D6" s="19" t="s">
        <v>112</v>
      </c>
      <c r="E6" s="19"/>
      <c r="F6" s="19"/>
      <c r="G6" s="66"/>
      <c r="H6" s="66"/>
      <c r="I6" s="66"/>
      <c r="J6"/>
      <c r="K6"/>
      <c r="L6"/>
      <c r="M6"/>
      <c r="N6"/>
    </row>
    <row r="7" spans="1:23" s="53" customFormat="1">
      <c r="A7" s="19" t="s">
        <v>80</v>
      </c>
      <c r="B7" s="19"/>
      <c r="C7" s="19">
        <v>0.92</v>
      </c>
      <c r="D7" s="19"/>
      <c r="E7" s="19"/>
      <c r="F7" s="19"/>
      <c r="G7"/>
      <c r="H7"/>
      <c r="I7"/>
      <c r="J7"/>
      <c r="K7"/>
      <c r="L7"/>
      <c r="M7"/>
      <c r="N7"/>
    </row>
    <row r="8" spans="1:23" s="53" customFormat="1">
      <c r="A8" s="19" t="s">
        <v>81</v>
      </c>
      <c r="B8" s="19"/>
      <c r="C8" s="19">
        <f>C7-C9</f>
        <v>0.65700000000000003</v>
      </c>
      <c r="D8" s="19"/>
      <c r="E8" s="19"/>
      <c r="F8" s="19"/>
      <c r="G8"/>
      <c r="H8"/>
      <c r="I8"/>
      <c r="J8"/>
      <c r="K8"/>
      <c r="L8"/>
      <c r="M8"/>
      <c r="N8"/>
    </row>
    <row r="9" spans="1:23" s="53" customFormat="1">
      <c r="A9" s="19" t="s">
        <v>82</v>
      </c>
      <c r="B9" s="19"/>
      <c r="C9" s="19">
        <v>0.26300000000000001</v>
      </c>
      <c r="D9" s="19"/>
      <c r="E9" s="19"/>
      <c r="F9" s="19"/>
      <c r="G9"/>
      <c r="H9"/>
      <c r="I9"/>
      <c r="J9"/>
      <c r="K9"/>
      <c r="L9"/>
      <c r="M9"/>
      <c r="N9"/>
    </row>
    <row r="10" spans="1:23" s="53" customFormat="1">
      <c r="A10" s="19" t="s">
        <v>19</v>
      </c>
      <c r="B10" s="19"/>
      <c r="C10" s="27">
        <v>8338.3903200000004</v>
      </c>
      <c r="D10" s="19" t="s">
        <v>83</v>
      </c>
      <c r="E10" s="19">
        <f>C10/3.6</f>
        <v>2316.2195333333334</v>
      </c>
      <c r="F10" s="19" t="s">
        <v>209</v>
      </c>
      <c r="G10"/>
      <c r="H10"/>
      <c r="I10"/>
      <c r="J10"/>
      <c r="K10"/>
      <c r="L10"/>
      <c r="M10"/>
      <c r="N10"/>
      <c r="O10" s="55"/>
      <c r="P10" s="55"/>
      <c r="Q10" s="55"/>
      <c r="R10" s="55"/>
      <c r="S10" s="55"/>
      <c r="T10" s="55"/>
      <c r="U10" s="55"/>
      <c r="V10" s="55"/>
      <c r="W10" s="55"/>
    </row>
    <row r="11" spans="1:23" s="53" customFormat="1">
      <c r="A11" s="19" t="s">
        <v>39</v>
      </c>
      <c r="B11" s="19" t="s">
        <v>40</v>
      </c>
      <c r="C11" s="19">
        <v>20</v>
      </c>
      <c r="D11" s="19" t="s">
        <v>41</v>
      </c>
      <c r="E11" s="19"/>
      <c r="F11" s="19"/>
      <c r="G11"/>
      <c r="H11"/>
      <c r="I11"/>
      <c r="J11"/>
      <c r="K11"/>
      <c r="L11"/>
      <c r="M11"/>
      <c r="N11"/>
    </row>
    <row r="12" spans="1:23" s="53" customFormat="1">
      <c r="A12" s="19" t="s">
        <v>42</v>
      </c>
      <c r="B12" s="19" t="s">
        <v>16</v>
      </c>
      <c r="C12" s="19">
        <v>0.05</v>
      </c>
      <c r="D12" s="19"/>
      <c r="E12" s="19"/>
      <c r="F12" s="19"/>
      <c r="G12"/>
      <c r="H12"/>
      <c r="I12"/>
      <c r="J12"/>
      <c r="K12"/>
      <c r="L12"/>
      <c r="M12"/>
      <c r="N12"/>
    </row>
    <row r="13" spans="1:23" s="53" customFormat="1">
      <c r="A13" s="19" t="s">
        <v>54</v>
      </c>
      <c r="B13" s="19"/>
      <c r="C13" s="20">
        <v>1645000</v>
      </c>
      <c r="D13" s="19" t="s">
        <v>27</v>
      </c>
      <c r="E13" s="19"/>
      <c r="F13" s="19"/>
      <c r="G13"/>
      <c r="H13"/>
      <c r="I13"/>
      <c r="J13"/>
      <c r="K13"/>
      <c r="L13"/>
      <c r="M13"/>
      <c r="N13"/>
      <c r="O13" s="56"/>
      <c r="P13" s="56"/>
      <c r="Q13" s="56"/>
      <c r="R13" s="56"/>
      <c r="S13" s="56"/>
      <c r="T13" s="56"/>
      <c r="U13" s="56"/>
      <c r="V13" s="56"/>
      <c r="W13" s="56"/>
    </row>
    <row r="14" spans="1:23" s="53" customFormat="1">
      <c r="A14" s="19" t="s">
        <v>61</v>
      </c>
      <c r="B14" s="19"/>
      <c r="C14" s="19">
        <v>0</v>
      </c>
      <c r="D14" s="19"/>
      <c r="E14" s="19"/>
      <c r="F14" s="19"/>
      <c r="G14"/>
      <c r="H14"/>
      <c r="I14"/>
      <c r="J14"/>
      <c r="K14"/>
      <c r="L14"/>
      <c r="M14"/>
      <c r="N14"/>
      <c r="O14" s="57"/>
      <c r="P14" s="57"/>
      <c r="Q14" s="57"/>
      <c r="R14" s="57"/>
      <c r="S14" s="57"/>
      <c r="T14" s="57"/>
      <c r="U14" s="57"/>
      <c r="V14" s="57"/>
      <c r="W14" s="57"/>
    </row>
    <row r="15" spans="1:23" s="53" customFormat="1">
      <c r="A15" s="19" t="s">
        <v>67</v>
      </c>
      <c r="B15" s="19"/>
      <c r="C15" s="19">
        <v>0.19</v>
      </c>
      <c r="D15" s="19"/>
      <c r="E15" s="19"/>
      <c r="F15" s="19"/>
      <c r="G15"/>
      <c r="H15"/>
      <c r="I15"/>
      <c r="J15"/>
      <c r="K15"/>
      <c r="L15"/>
      <c r="M15"/>
      <c r="N15"/>
      <c r="O15" s="57"/>
      <c r="P15" s="57"/>
      <c r="Q15" s="57"/>
      <c r="R15" s="57"/>
      <c r="S15" s="57"/>
      <c r="T15" s="57"/>
      <c r="U15" s="57"/>
      <c r="V15" s="57"/>
      <c r="W15" s="57"/>
    </row>
    <row r="16" spans="1:23" s="53" customFormat="1">
      <c r="A16" s="19" t="s">
        <v>93</v>
      </c>
      <c r="B16" s="19"/>
      <c r="C16" s="19">
        <v>0.75</v>
      </c>
      <c r="D16" s="19"/>
      <c r="E16" s="19"/>
      <c r="F16" s="19"/>
      <c r="G16"/>
      <c r="H16"/>
      <c r="I16"/>
      <c r="J16"/>
      <c r="K16"/>
      <c r="L16"/>
      <c r="M16"/>
      <c r="N16"/>
      <c r="O16" s="57"/>
      <c r="P16" s="57"/>
      <c r="Q16" s="57"/>
      <c r="R16" s="57"/>
      <c r="S16" s="57"/>
      <c r="T16" s="57"/>
      <c r="U16" s="57"/>
      <c r="V16" s="57"/>
      <c r="W16" s="57"/>
    </row>
    <row r="17" spans="1:23" s="53" customFormat="1">
      <c r="A17" s="19" t="s">
        <v>178</v>
      </c>
      <c r="B17" s="19"/>
      <c r="C17" s="19">
        <v>1450</v>
      </c>
      <c r="D17" s="19" t="s">
        <v>179</v>
      </c>
      <c r="E17" s="19"/>
      <c r="F17" s="19"/>
      <c r="G17"/>
      <c r="H17"/>
      <c r="I17"/>
      <c r="J17"/>
      <c r="K17"/>
      <c r="L17"/>
      <c r="M17"/>
      <c r="N17"/>
    </row>
    <row r="18" spans="1:23" s="53" customFormat="1">
      <c r="A18" s="19" t="s">
        <v>180</v>
      </c>
      <c r="B18" s="19"/>
      <c r="C18" s="19">
        <v>0.01</v>
      </c>
      <c r="D18" s="19"/>
      <c r="E18" s="19"/>
      <c r="F18" s="19"/>
      <c r="G18"/>
      <c r="H18"/>
      <c r="I18"/>
      <c r="J18"/>
      <c r="K18"/>
      <c r="L18"/>
      <c r="M18"/>
      <c r="N18"/>
      <c r="O18" s="57"/>
      <c r="P18" s="57"/>
      <c r="Q18" s="57"/>
      <c r="R18" s="57"/>
      <c r="S18" s="57"/>
      <c r="T18" s="57"/>
      <c r="U18" s="57"/>
      <c r="V18" s="57"/>
      <c r="W18" s="57"/>
    </row>
    <row r="19" spans="1:23" s="53" customFormat="1">
      <c r="A19" s="19" t="s">
        <v>206</v>
      </c>
      <c r="B19" s="19" t="s">
        <v>207</v>
      </c>
      <c r="C19" s="19">
        <v>4331.9399999999996</v>
      </c>
      <c r="D19" s="19" t="s">
        <v>179</v>
      </c>
      <c r="E19" s="19"/>
      <c r="F19" s="19"/>
      <c r="G19"/>
      <c r="H19"/>
      <c r="I19"/>
      <c r="J19"/>
      <c r="K19"/>
      <c r="L19"/>
      <c r="M19"/>
      <c r="N19"/>
      <c r="O19" s="57"/>
      <c r="P19" s="57"/>
      <c r="Q19" s="57"/>
      <c r="R19" s="57"/>
      <c r="S19" s="57"/>
      <c r="T19" s="57"/>
      <c r="U19" s="57"/>
      <c r="V19" s="57"/>
      <c r="W19" s="57"/>
    </row>
    <row r="20" spans="1:23" s="53" customFormat="1">
      <c r="A20" s="19" t="s">
        <v>212</v>
      </c>
      <c r="B20" s="19"/>
      <c r="C20" s="19">
        <v>0.02</v>
      </c>
      <c r="D20" s="19"/>
      <c r="E20" s="19"/>
      <c r="F20" s="19"/>
      <c r="G20"/>
      <c r="H20"/>
      <c r="I20"/>
      <c r="J20"/>
      <c r="K20"/>
      <c r="L20"/>
      <c r="M20"/>
      <c r="N20"/>
      <c r="O20" s="57"/>
      <c r="P20" s="57"/>
      <c r="Q20" s="57"/>
      <c r="R20" s="57"/>
      <c r="S20" s="57"/>
      <c r="T20" s="57"/>
      <c r="U20" s="57"/>
      <c r="V20" s="57"/>
      <c r="W20" s="57"/>
    </row>
    <row r="21" spans="1:23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>
      <c r="A22" s="2" t="s">
        <v>25</v>
      </c>
    </row>
    <row r="23" spans="1:23">
      <c r="A23" s="22"/>
    </row>
    <row r="24" spans="1:23">
      <c r="A24" t="s">
        <v>86</v>
      </c>
    </row>
    <row r="25" spans="1:23">
      <c r="A25" s="22"/>
      <c r="B25" t="s">
        <v>87</v>
      </c>
      <c r="C25">
        <v>24</v>
      </c>
      <c r="D25" t="s">
        <v>88</v>
      </c>
      <c r="E25">
        <f>C25*3.6</f>
        <v>86.4</v>
      </c>
      <c r="F25" t="s">
        <v>20</v>
      </c>
    </row>
    <row r="26" spans="1:23">
      <c r="A26" s="22"/>
      <c r="B26" t="s">
        <v>84</v>
      </c>
      <c r="C26" s="21">
        <f>(E25*C7)/C8</f>
        <v>120.98630136986303</v>
      </c>
      <c r="D26" s="21" t="s">
        <v>90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>
      <c r="A27" s="22" t="s">
        <v>23</v>
      </c>
      <c r="B27" t="s">
        <v>21</v>
      </c>
      <c r="C27" s="30">
        <f>(C26*1000)/($C$5*$C$7)</f>
        <v>1095.8904109589041</v>
      </c>
      <c r="D27" s="30" t="s">
        <v>85</v>
      </c>
      <c r="E27" s="30"/>
      <c r="F27" s="30"/>
      <c r="G27" s="30"/>
      <c r="H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>
      <c r="A28" t="s">
        <v>91</v>
      </c>
      <c r="C28" s="21">
        <f>C27/24</f>
        <v>45.662100456621005</v>
      </c>
      <c r="D28" s="21" t="s">
        <v>92</v>
      </c>
      <c r="E28" s="21"/>
      <c r="F28" s="21"/>
      <c r="G28" s="21"/>
      <c r="H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>
      <c r="A29" s="22"/>
    </row>
    <row r="30" spans="1:23">
      <c r="A30" s="2" t="s">
        <v>95</v>
      </c>
    </row>
    <row r="31" spans="1:23">
      <c r="A31" t="s">
        <v>96</v>
      </c>
      <c r="B31" t="s">
        <v>97</v>
      </c>
      <c r="C31">
        <v>24</v>
      </c>
      <c r="D31" t="s">
        <v>97</v>
      </c>
    </row>
    <row r="32" spans="1:23">
      <c r="A32" t="s">
        <v>98</v>
      </c>
      <c r="B32" t="s">
        <v>99</v>
      </c>
      <c r="C32">
        <v>1</v>
      </c>
      <c r="D32" t="s">
        <v>100</v>
      </c>
    </row>
    <row r="33" spans="1:23">
      <c r="A33" t="s">
        <v>101</v>
      </c>
      <c r="B33" t="s">
        <v>102</v>
      </c>
      <c r="C33">
        <f>$C$31*(C32)</f>
        <v>24</v>
      </c>
      <c r="D33" t="s">
        <v>88</v>
      </c>
    </row>
    <row r="34" spans="1:23">
      <c r="A34" s="22"/>
    </row>
    <row r="35" spans="1:23">
      <c r="A35" s="22" t="s">
        <v>103</v>
      </c>
      <c r="B35" t="s">
        <v>94</v>
      </c>
      <c r="C35">
        <v>20</v>
      </c>
      <c r="D35" t="s">
        <v>104</v>
      </c>
    </row>
    <row r="36" spans="1:23">
      <c r="A36" s="22" t="s">
        <v>108</v>
      </c>
      <c r="B36" t="s">
        <v>109</v>
      </c>
      <c r="C36">
        <v>0.1</v>
      </c>
      <c r="D36" t="s">
        <v>104</v>
      </c>
    </row>
    <row r="37" spans="1:23">
      <c r="A37" s="22" t="s">
        <v>105</v>
      </c>
      <c r="C37">
        <f>C8</f>
        <v>0.65700000000000003</v>
      </c>
    </row>
    <row r="38" spans="1:23" s="53" customFormat="1">
      <c r="A38" s="31" t="s">
        <v>106</v>
      </c>
      <c r="B38" s="18" t="s">
        <v>107</v>
      </c>
      <c r="C38" s="32">
        <f>((C33*1000)/($E$5*C37*$C$6))*C36/C35</f>
        <v>60.882800608828006</v>
      </c>
      <c r="D38" s="32" t="s">
        <v>85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3">
      <c r="A39" s="22"/>
    </row>
    <row r="40" spans="1:23">
      <c r="A40" s="2" t="s">
        <v>113</v>
      </c>
    </row>
    <row r="41" spans="1:23">
      <c r="A41" t="s">
        <v>96</v>
      </c>
      <c r="B41" t="s">
        <v>97</v>
      </c>
      <c r="C41">
        <v>0.5</v>
      </c>
      <c r="D41" t="s">
        <v>97</v>
      </c>
    </row>
    <row r="42" spans="1:23">
      <c r="A42" t="s">
        <v>98</v>
      </c>
      <c r="B42" t="s">
        <v>99</v>
      </c>
      <c r="C42">
        <v>1</v>
      </c>
      <c r="D42" t="s">
        <v>100</v>
      </c>
    </row>
    <row r="43" spans="1:23">
      <c r="A43" t="s">
        <v>101</v>
      </c>
      <c r="B43" t="s">
        <v>102</v>
      </c>
      <c r="C43">
        <f>$C$41*(C42)</f>
        <v>0.5</v>
      </c>
      <c r="D43" t="s">
        <v>88</v>
      </c>
    </row>
    <row r="44" spans="1:23">
      <c r="A44" s="22"/>
    </row>
    <row r="45" spans="1:23">
      <c r="A45" t="s">
        <v>114</v>
      </c>
      <c r="B45" t="s">
        <v>94</v>
      </c>
      <c r="C45">
        <v>0.4</v>
      </c>
      <c r="D45" t="s">
        <v>104</v>
      </c>
    </row>
    <row r="46" spans="1:23">
      <c r="A46" s="22" t="s">
        <v>108</v>
      </c>
      <c r="B46" t="s">
        <v>109</v>
      </c>
      <c r="C46">
        <v>0.1</v>
      </c>
      <c r="D46" t="s">
        <v>104</v>
      </c>
    </row>
    <row r="47" spans="1:23">
      <c r="A47" s="22" t="s">
        <v>105</v>
      </c>
      <c r="C47">
        <f>C37</f>
        <v>0.65700000000000003</v>
      </c>
    </row>
    <row r="48" spans="1:23" s="53" customFormat="1">
      <c r="A48" s="31" t="s">
        <v>106</v>
      </c>
      <c r="B48" s="18" t="s">
        <v>107</v>
      </c>
      <c r="C48" s="32">
        <f>((C43*1000)/($E$5*C47*$C$6))*C46/C45</f>
        <v>63.419583967529171</v>
      </c>
      <c r="D48" s="32" t="s">
        <v>85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1:23">
      <c r="A49" s="22"/>
    </row>
    <row r="50" spans="1:23">
      <c r="A50" t="s">
        <v>23</v>
      </c>
      <c r="B50" t="s">
        <v>21</v>
      </c>
      <c r="C50">
        <v>0</v>
      </c>
      <c r="D50" t="s">
        <v>22</v>
      </c>
    </row>
    <row r="51" spans="1:23">
      <c r="A51" t="s">
        <v>26</v>
      </c>
      <c r="B51" t="s">
        <v>28</v>
      </c>
      <c r="C51" s="3">
        <v>0</v>
      </c>
      <c r="D51" s="3" t="s">
        <v>27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3" spans="1:23">
      <c r="A53" t="s">
        <v>35</v>
      </c>
      <c r="B53" t="s">
        <v>29</v>
      </c>
      <c r="C53" s="3">
        <v>0</v>
      </c>
      <c r="D53" s="3" t="s">
        <v>27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t="s">
        <v>36</v>
      </c>
      <c r="B54" t="s">
        <v>30</v>
      </c>
      <c r="C54">
        <v>0</v>
      </c>
      <c r="D54" t="s">
        <v>27</v>
      </c>
    </row>
    <row r="55" spans="1:23">
      <c r="A55" t="s">
        <v>37</v>
      </c>
      <c r="B55" t="s">
        <v>31</v>
      </c>
      <c r="C55" s="3">
        <f>C53+C54</f>
        <v>0</v>
      </c>
      <c r="D55" s="3" t="s">
        <v>27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t="s">
        <v>38</v>
      </c>
      <c r="B56" t="s">
        <v>32</v>
      </c>
      <c r="C56">
        <f>Nps!B15</f>
        <v>3336.45</v>
      </c>
      <c r="D56" t="s">
        <v>27</v>
      </c>
    </row>
    <row r="57" spans="1:23">
      <c r="A57" t="s">
        <v>34</v>
      </c>
      <c r="B57" t="s">
        <v>33</v>
      </c>
      <c r="C57" s="3">
        <f>C55+C56</f>
        <v>3336.45</v>
      </c>
      <c r="D57" s="3" t="s">
        <v>27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t="s">
        <v>43</v>
      </c>
      <c r="B58" t="s">
        <v>44</v>
      </c>
      <c r="C58" s="3">
        <f>investice!B15+'společná investice'!B11</f>
        <v>103566.2</v>
      </c>
      <c r="D58" s="3" t="s">
        <v>27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t="s">
        <v>45</v>
      </c>
      <c r="B59" t="s">
        <v>15</v>
      </c>
      <c r="C59" s="16">
        <f>((1+C12)^C11*C12)/((1+C12)^C11-1)</f>
        <v>8.0242587190691314E-2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>
      <c r="A60" t="s">
        <v>46</v>
      </c>
      <c r="B60" t="s">
        <v>47</v>
      </c>
      <c r="C60" s="3">
        <f>C59*C58+C57</f>
        <v>11646.869833508576</v>
      </c>
      <c r="D60" s="3" t="s">
        <v>27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s="53" customFormat="1">
      <c r="A61" s="63" t="s">
        <v>74</v>
      </c>
      <c r="B61" s="63" t="s">
        <v>48</v>
      </c>
      <c r="C61" s="64">
        <f>C60/C10*1000</f>
        <v>1396.7767622454708</v>
      </c>
      <c r="D61" s="64" t="s">
        <v>49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4" spans="1:23">
      <c r="A64" s="2" t="s">
        <v>52</v>
      </c>
    </row>
    <row r="65" spans="1:23">
      <c r="A65" t="s">
        <v>53</v>
      </c>
      <c r="C65" s="3">
        <f>C58*1000-C13</f>
        <v>101921200</v>
      </c>
      <c r="D65" s="3" t="s">
        <v>27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t="s">
        <v>55</v>
      </c>
      <c r="C66">
        <v>0.05</v>
      </c>
    </row>
    <row r="67" spans="1:23">
      <c r="A67" t="s">
        <v>56</v>
      </c>
      <c r="C67">
        <v>15</v>
      </c>
      <c r="D67" t="s">
        <v>41</v>
      </c>
    </row>
    <row r="70" spans="1:23">
      <c r="A70" s="2" t="s">
        <v>50</v>
      </c>
    </row>
    <row r="71" spans="1:23">
      <c r="C71" s="2">
        <v>2015</v>
      </c>
      <c r="D71" s="2">
        <v>2016</v>
      </c>
      <c r="E71" s="2">
        <v>2017</v>
      </c>
      <c r="F71" s="2">
        <v>2018</v>
      </c>
      <c r="G71" s="2">
        <v>2019</v>
      </c>
      <c r="H71" s="2">
        <v>2020</v>
      </c>
      <c r="I71" s="2">
        <v>2021</v>
      </c>
      <c r="J71" s="2">
        <v>2022</v>
      </c>
      <c r="K71" s="2">
        <v>2023</v>
      </c>
      <c r="L71" s="2">
        <v>2024</v>
      </c>
      <c r="M71" s="2">
        <v>2025</v>
      </c>
      <c r="N71" s="2">
        <v>2026</v>
      </c>
      <c r="O71" s="2">
        <v>2027</v>
      </c>
      <c r="P71" s="2">
        <v>2028</v>
      </c>
      <c r="Q71" s="2">
        <v>2029</v>
      </c>
      <c r="R71" s="2">
        <v>2030</v>
      </c>
      <c r="S71" s="2">
        <v>2031</v>
      </c>
      <c r="T71" s="2">
        <v>2032</v>
      </c>
      <c r="U71" s="2">
        <v>2033</v>
      </c>
      <c r="V71" s="2">
        <v>2034</v>
      </c>
      <c r="W71" s="2">
        <v>2035</v>
      </c>
    </row>
    <row r="72" spans="1:23">
      <c r="A72" t="s">
        <v>51</v>
      </c>
      <c r="C72" s="2">
        <v>0</v>
      </c>
      <c r="D72" s="2">
        <v>1</v>
      </c>
      <c r="E72" s="2">
        <v>2</v>
      </c>
      <c r="F72" s="2">
        <v>3</v>
      </c>
      <c r="G72" s="2">
        <v>4</v>
      </c>
      <c r="H72" s="2">
        <v>5</v>
      </c>
      <c r="I72" s="2">
        <v>6</v>
      </c>
      <c r="J72" s="2">
        <v>7</v>
      </c>
      <c r="K72" s="2">
        <v>8</v>
      </c>
      <c r="L72" s="2">
        <v>9</v>
      </c>
      <c r="M72" s="2">
        <v>10</v>
      </c>
      <c r="N72" s="2">
        <v>11</v>
      </c>
      <c r="O72" s="2">
        <v>12</v>
      </c>
      <c r="P72" s="2">
        <v>13</v>
      </c>
      <c r="Q72" s="2">
        <v>14</v>
      </c>
      <c r="R72" s="2">
        <v>15</v>
      </c>
      <c r="S72" s="2">
        <v>16</v>
      </c>
      <c r="T72" s="2">
        <v>17</v>
      </c>
      <c r="U72" s="2">
        <v>18</v>
      </c>
      <c r="V72" s="2">
        <v>19</v>
      </c>
      <c r="W72" s="2">
        <v>20</v>
      </c>
    </row>
    <row r="75" spans="1:23">
      <c r="A75" s="2" t="s">
        <v>59</v>
      </c>
    </row>
    <row r="76" spans="1:23">
      <c r="A76" t="s">
        <v>58</v>
      </c>
      <c r="D76">
        <f>C65/C67</f>
        <v>6794746.666666667</v>
      </c>
      <c r="E76">
        <f>IF(E72&lt;=$C$67,$D$76,0)</f>
        <v>6794746.666666667</v>
      </c>
      <c r="F76">
        <f t="shared" ref="F76:W76" si="0">IF(F72&lt;=$C$67,$D$76,0)</f>
        <v>6794746.666666667</v>
      </c>
      <c r="G76">
        <f t="shared" si="0"/>
        <v>6794746.666666667</v>
      </c>
      <c r="H76">
        <f t="shared" si="0"/>
        <v>6794746.666666667</v>
      </c>
      <c r="I76">
        <f t="shared" si="0"/>
        <v>6794746.666666667</v>
      </c>
      <c r="J76">
        <f t="shared" si="0"/>
        <v>6794746.666666667</v>
      </c>
      <c r="K76">
        <f t="shared" si="0"/>
        <v>6794746.666666667</v>
      </c>
      <c r="L76">
        <f t="shared" si="0"/>
        <v>6794746.666666667</v>
      </c>
      <c r="M76">
        <f t="shared" si="0"/>
        <v>6794746.666666667</v>
      </c>
      <c r="N76">
        <f t="shared" si="0"/>
        <v>6794746.666666667</v>
      </c>
      <c r="O76">
        <f t="shared" si="0"/>
        <v>6794746.666666667</v>
      </c>
      <c r="P76">
        <f t="shared" si="0"/>
        <v>6794746.666666667</v>
      </c>
      <c r="Q76">
        <f t="shared" si="0"/>
        <v>6794746.666666667</v>
      </c>
      <c r="R76">
        <f t="shared" si="0"/>
        <v>6794746.666666667</v>
      </c>
      <c r="S76">
        <f t="shared" si="0"/>
        <v>0</v>
      </c>
      <c r="T76">
        <f t="shared" si="0"/>
        <v>0</v>
      </c>
      <c r="U76">
        <f t="shared" si="0"/>
        <v>0</v>
      </c>
      <c r="V76">
        <f t="shared" si="0"/>
        <v>0</v>
      </c>
      <c r="W76">
        <f t="shared" si="0"/>
        <v>0</v>
      </c>
    </row>
    <row r="77" spans="1:23">
      <c r="A77" t="s">
        <v>60</v>
      </c>
      <c r="D77">
        <f>C65-D76</f>
        <v>95126453.333333328</v>
      </c>
      <c r="E77">
        <f>IF(E76=0,0,D77-E76)</f>
        <v>88331706.666666657</v>
      </c>
      <c r="F77">
        <f t="shared" ref="F77:W77" si="1">IF(F76=0,0,E77-F76)</f>
        <v>81536959.999999985</v>
      </c>
      <c r="G77">
        <f t="shared" si="1"/>
        <v>74742213.333333313</v>
      </c>
      <c r="H77">
        <f t="shared" si="1"/>
        <v>67947466.666666642</v>
      </c>
      <c r="I77">
        <f t="shared" si="1"/>
        <v>61152719.999999978</v>
      </c>
      <c r="J77">
        <f t="shared" si="1"/>
        <v>54357973.333333313</v>
      </c>
      <c r="K77">
        <f t="shared" si="1"/>
        <v>47563226.666666649</v>
      </c>
      <c r="L77">
        <f t="shared" si="1"/>
        <v>40768479.999999985</v>
      </c>
      <c r="M77">
        <f t="shared" si="1"/>
        <v>33973733.333333321</v>
      </c>
      <c r="N77">
        <f t="shared" si="1"/>
        <v>27178986.666666653</v>
      </c>
      <c r="O77">
        <f t="shared" si="1"/>
        <v>20384239.999999985</v>
      </c>
      <c r="P77">
        <f t="shared" si="1"/>
        <v>13589493.333333317</v>
      </c>
      <c r="Q77">
        <f t="shared" si="1"/>
        <v>6794746.6666666502</v>
      </c>
      <c r="R77">
        <f t="shared" si="1"/>
        <v>-1.6763806343078613E-8</v>
      </c>
      <c r="S77">
        <f t="shared" si="1"/>
        <v>0</v>
      </c>
      <c r="T77">
        <f t="shared" si="1"/>
        <v>0</v>
      </c>
      <c r="U77">
        <f t="shared" si="1"/>
        <v>0</v>
      </c>
      <c r="V77">
        <f t="shared" si="1"/>
        <v>0</v>
      </c>
      <c r="W77">
        <f t="shared" si="1"/>
        <v>0</v>
      </c>
    </row>
    <row r="78" spans="1:23">
      <c r="A78" t="s">
        <v>57</v>
      </c>
      <c r="D78">
        <f>C65*C66</f>
        <v>5096060</v>
      </c>
      <c r="E78">
        <f>$C$66*D77</f>
        <v>4756322.666666667</v>
      </c>
      <c r="F78">
        <f t="shared" ref="F78:W78" si="2">$C$66*E77</f>
        <v>4416585.333333333</v>
      </c>
      <c r="G78">
        <f t="shared" si="2"/>
        <v>4076847.9999999995</v>
      </c>
      <c r="H78">
        <f t="shared" si="2"/>
        <v>3737110.666666666</v>
      </c>
      <c r="I78">
        <f t="shared" si="2"/>
        <v>3397373.3333333321</v>
      </c>
      <c r="J78">
        <f t="shared" si="2"/>
        <v>3057635.9999999991</v>
      </c>
      <c r="K78">
        <f t="shared" si="2"/>
        <v>2717898.666666666</v>
      </c>
      <c r="L78">
        <f t="shared" si="2"/>
        <v>2378161.3333333326</v>
      </c>
      <c r="M78">
        <f t="shared" si="2"/>
        <v>2038423.9999999993</v>
      </c>
      <c r="N78">
        <f t="shared" si="2"/>
        <v>1698686.666666666</v>
      </c>
      <c r="O78">
        <f t="shared" si="2"/>
        <v>1358949.3333333328</v>
      </c>
      <c r="P78">
        <f t="shared" si="2"/>
        <v>1019211.9999999993</v>
      </c>
      <c r="Q78">
        <f t="shared" si="2"/>
        <v>679474.66666666593</v>
      </c>
      <c r="R78">
        <f t="shared" si="2"/>
        <v>339737.33333333256</v>
      </c>
      <c r="S78">
        <f t="shared" si="2"/>
        <v>-8.3819031715393068E-10</v>
      </c>
      <c r="T78">
        <f t="shared" si="2"/>
        <v>0</v>
      </c>
      <c r="U78">
        <f t="shared" si="2"/>
        <v>0</v>
      </c>
      <c r="V78">
        <f t="shared" si="2"/>
        <v>0</v>
      </c>
      <c r="W78">
        <f t="shared" si="2"/>
        <v>0</v>
      </c>
    </row>
    <row r="79" spans="1:23">
      <c r="A79" t="s">
        <v>65</v>
      </c>
      <c r="D79">
        <f>D76+D78</f>
        <v>11890806.666666668</v>
      </c>
      <c r="E79">
        <f t="shared" ref="E79:W79" si="3">E76+E78</f>
        <v>11551069.333333334</v>
      </c>
      <c r="F79">
        <f t="shared" si="3"/>
        <v>11211332</v>
      </c>
      <c r="G79">
        <f t="shared" si="3"/>
        <v>10871594.666666666</v>
      </c>
      <c r="H79">
        <f t="shared" si="3"/>
        <v>10531857.333333332</v>
      </c>
      <c r="I79">
        <f t="shared" si="3"/>
        <v>10192120</v>
      </c>
      <c r="J79">
        <f t="shared" si="3"/>
        <v>9852382.666666666</v>
      </c>
      <c r="K79">
        <f t="shared" si="3"/>
        <v>9512645.3333333321</v>
      </c>
      <c r="L79">
        <f t="shared" si="3"/>
        <v>9172908</v>
      </c>
      <c r="M79">
        <f t="shared" si="3"/>
        <v>8833170.666666666</v>
      </c>
      <c r="N79">
        <f t="shared" si="3"/>
        <v>8493433.3333333321</v>
      </c>
      <c r="O79">
        <f t="shared" si="3"/>
        <v>8153696</v>
      </c>
      <c r="P79">
        <f t="shared" si="3"/>
        <v>7813958.666666666</v>
      </c>
      <c r="Q79">
        <f t="shared" si="3"/>
        <v>7474221.333333333</v>
      </c>
      <c r="R79">
        <f t="shared" si="3"/>
        <v>7134484</v>
      </c>
      <c r="S79">
        <f t="shared" si="3"/>
        <v>-8.3819031715393068E-10</v>
      </c>
      <c r="T79">
        <f t="shared" si="3"/>
        <v>0</v>
      </c>
      <c r="U79">
        <f t="shared" si="3"/>
        <v>0</v>
      </c>
      <c r="V79">
        <f t="shared" si="3"/>
        <v>0</v>
      </c>
      <c r="W79">
        <f t="shared" si="3"/>
        <v>0</v>
      </c>
    </row>
    <row r="82" spans="1:23">
      <c r="A82" t="s">
        <v>43</v>
      </c>
      <c r="B82" t="s">
        <v>44</v>
      </c>
      <c r="C82" s="3">
        <f>C58*1000</f>
        <v>103566200</v>
      </c>
      <c r="D82" s="3"/>
      <c r="E82" s="3"/>
      <c r="F82" s="3"/>
      <c r="G82" s="3"/>
      <c r="H82" s="3"/>
      <c r="I82" s="3"/>
      <c r="J82" s="3"/>
      <c r="K82" s="3"/>
      <c r="L82" s="3"/>
      <c r="M82" s="3">
        <f>C58*0.339350096*1000</f>
        <v>35145199.912355199</v>
      </c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t="s">
        <v>64</v>
      </c>
      <c r="C83">
        <v>0</v>
      </c>
      <c r="D83">
        <f>investice!C21+'společná investice'!C32</f>
        <v>6434.4500000000007</v>
      </c>
      <c r="E83">
        <f>investice!D21+'společná investice'!D32</f>
        <v>11922.315000000002</v>
      </c>
      <c r="F83">
        <f>investice!E21+'společná investice'!E32</f>
        <v>10975.73</v>
      </c>
      <c r="G83">
        <f>investice!F21+'společná investice'!F32</f>
        <v>10029.145</v>
      </c>
      <c r="H83">
        <f>investice!G21+'společná investice'!G32</f>
        <v>9082.56</v>
      </c>
      <c r="I83">
        <f>investice!H21+'společná investice'!H32</f>
        <v>8135.9750000000004</v>
      </c>
      <c r="J83">
        <f>investice!I21+'společná investice'!I32</f>
        <v>7189.39</v>
      </c>
      <c r="K83">
        <f>investice!J21+'společná investice'!J32</f>
        <v>6242.8050000000003</v>
      </c>
      <c r="L83">
        <f>investice!K21+'společná investice'!K32</f>
        <v>5296.2200000000012</v>
      </c>
      <c r="M83">
        <f>investice!L21+'společná investice'!L32</f>
        <v>4349.635000000002</v>
      </c>
      <c r="N83">
        <f>investice!M21+'společná investice'!M32</f>
        <v>6398.4499999999989</v>
      </c>
      <c r="O83">
        <f>investice!N21+'společná investice'!N32</f>
        <v>8454.4650000000001</v>
      </c>
      <c r="P83">
        <f>investice!O21+'společná investice'!O32</f>
        <v>7515.0799999999981</v>
      </c>
      <c r="Q83">
        <f>investice!P21+'společná investice'!P32</f>
        <v>6575.6949999999979</v>
      </c>
      <c r="R83">
        <f>investice!Q21+'společná investice'!Q32</f>
        <v>5636.3099999999995</v>
      </c>
      <c r="S83">
        <f>investice!R21+'společná investice'!R32</f>
        <v>4696.9249999999993</v>
      </c>
      <c r="T83">
        <f>investice!S21+'společná investice'!S32</f>
        <v>3757.5399999999991</v>
      </c>
      <c r="U83">
        <f>investice!T21+'společná investice'!T32</f>
        <v>2818.1550000000016</v>
      </c>
      <c r="V83">
        <f>investice!U21+'společná investice'!U32</f>
        <v>1878.7700000000068</v>
      </c>
      <c r="W83">
        <f>investice!V21+'společná investice'!V32</f>
        <v>939.38500000000931</v>
      </c>
    </row>
    <row r="84" spans="1:23">
      <c r="A84" s="53" t="s">
        <v>181</v>
      </c>
      <c r="D84" s="3">
        <f>B99</f>
        <v>881.85838582818872</v>
      </c>
      <c r="E84" s="3">
        <f>D84*(1+$B$100)</f>
        <v>899.49555354475251</v>
      </c>
      <c r="F84" s="3">
        <f>E84*(1+$B$100)</f>
        <v>917.48546461564763</v>
      </c>
      <c r="G84" s="3">
        <f t="shared" ref="G84:W84" si="4">F84*(1+$B$100)</f>
        <v>935.83517390796055</v>
      </c>
      <c r="H84" s="3">
        <f t="shared" si="4"/>
        <v>954.55187738611983</v>
      </c>
      <c r="I84" s="3">
        <f t="shared" si="4"/>
        <v>973.64291493384223</v>
      </c>
      <c r="J84" s="3">
        <f t="shared" si="4"/>
        <v>993.11577323251913</v>
      </c>
      <c r="K84" s="3">
        <f t="shared" si="4"/>
        <v>1012.9780886971695</v>
      </c>
      <c r="L84" s="3">
        <f t="shared" si="4"/>
        <v>1033.2376504711128</v>
      </c>
      <c r="M84" s="3">
        <f t="shared" si="4"/>
        <v>1053.9024034805352</v>
      </c>
      <c r="N84" s="3">
        <f t="shared" si="4"/>
        <v>1074.980451550146</v>
      </c>
      <c r="O84" s="3">
        <f t="shared" si="4"/>
        <v>1096.480060581149</v>
      </c>
      <c r="P84" s="3">
        <f t="shared" si="4"/>
        <v>1118.4096617927721</v>
      </c>
      <c r="Q84" s="3">
        <f t="shared" si="4"/>
        <v>1140.7778550286275</v>
      </c>
      <c r="R84" s="3">
        <f t="shared" si="4"/>
        <v>1163.5934121292</v>
      </c>
      <c r="S84" s="3">
        <f t="shared" si="4"/>
        <v>1186.8652803717841</v>
      </c>
      <c r="T84" s="3">
        <f t="shared" si="4"/>
        <v>1210.6025859792198</v>
      </c>
      <c r="U84" s="3">
        <f t="shared" si="4"/>
        <v>1234.8146376988043</v>
      </c>
      <c r="V84" s="3">
        <f t="shared" si="4"/>
        <v>1259.5109304527805</v>
      </c>
      <c r="W84" s="3">
        <f t="shared" si="4"/>
        <v>1284.7011490618361</v>
      </c>
    </row>
    <row r="85" spans="1:23">
      <c r="A85" s="53" t="s">
        <v>213</v>
      </c>
      <c r="C85">
        <v>0</v>
      </c>
      <c r="D85" s="3">
        <f>$C$10*D84</f>
        <v>7353279.4280005945</v>
      </c>
      <c r="E85" s="3">
        <f t="shared" ref="E85:W85" si="5">$C$10*E84</f>
        <v>7500345.0165606067</v>
      </c>
      <c r="F85" s="3">
        <f t="shared" si="5"/>
        <v>7650351.9168918189</v>
      </c>
      <c r="G85" s="3">
        <f t="shared" si="5"/>
        <v>7803358.9552296549</v>
      </c>
      <c r="H85" s="3">
        <f t="shared" si="5"/>
        <v>7959426.1343342485</v>
      </c>
      <c r="I85" s="3">
        <f t="shared" si="5"/>
        <v>8118614.6570209339</v>
      </c>
      <c r="J85" s="3">
        <f t="shared" si="5"/>
        <v>8280986.9501613528</v>
      </c>
      <c r="K85" s="3">
        <f t="shared" si="5"/>
        <v>8446606.6891645808</v>
      </c>
      <c r="L85" s="3">
        <f t="shared" si="5"/>
        <v>8615538.8229478709</v>
      </c>
      <c r="M85" s="3">
        <f t="shared" si="5"/>
        <v>8787849.5994068291</v>
      </c>
      <c r="N85" s="3">
        <f t="shared" si="5"/>
        <v>8963606.5913949665</v>
      </c>
      <c r="O85" s="3">
        <f t="shared" si="5"/>
        <v>9142878.7232228667</v>
      </c>
      <c r="P85" s="3">
        <f t="shared" si="5"/>
        <v>9325736.2976873256</v>
      </c>
      <c r="Q85" s="3">
        <f t="shared" si="5"/>
        <v>9512251.0236410722</v>
      </c>
      <c r="R85" s="3">
        <f t="shared" si="5"/>
        <v>9702496.0441138931</v>
      </c>
      <c r="S85" s="3">
        <f t="shared" si="5"/>
        <v>9896545.9649961721</v>
      </c>
      <c r="T85" s="3">
        <f t="shared" si="5"/>
        <v>10094476.884296095</v>
      </c>
      <c r="U85" s="3">
        <f t="shared" si="5"/>
        <v>10296366.421982016</v>
      </c>
      <c r="V85" s="3">
        <f t="shared" si="5"/>
        <v>10502293.750421658</v>
      </c>
      <c r="W85" s="3">
        <f t="shared" si="5"/>
        <v>10712339.625430092</v>
      </c>
    </row>
    <row r="86" spans="1:23">
      <c r="A86" s="53" t="s">
        <v>182</v>
      </c>
      <c r="B86" t="s">
        <v>176</v>
      </c>
      <c r="D86" s="3">
        <f>VTE!B18</f>
        <v>5558.22</v>
      </c>
      <c r="E86" s="3">
        <f>$D$86</f>
        <v>5558.22</v>
      </c>
      <c r="F86" s="3">
        <f t="shared" ref="F86:W86" si="6">$D$86</f>
        <v>5558.22</v>
      </c>
      <c r="G86" s="3">
        <f t="shared" si="6"/>
        <v>5558.22</v>
      </c>
      <c r="H86" s="3">
        <f t="shared" si="6"/>
        <v>5558.22</v>
      </c>
      <c r="I86" s="3">
        <f t="shared" si="6"/>
        <v>5558.22</v>
      </c>
      <c r="J86" s="3">
        <f t="shared" si="6"/>
        <v>5558.22</v>
      </c>
      <c r="K86" s="3">
        <f t="shared" si="6"/>
        <v>5558.22</v>
      </c>
      <c r="L86" s="3">
        <f t="shared" si="6"/>
        <v>5558.22</v>
      </c>
      <c r="M86" s="3">
        <f t="shared" si="6"/>
        <v>5558.22</v>
      </c>
      <c r="N86" s="3">
        <f t="shared" si="6"/>
        <v>5558.22</v>
      </c>
      <c r="O86" s="3">
        <f t="shared" si="6"/>
        <v>5558.22</v>
      </c>
      <c r="P86" s="3">
        <f t="shared" si="6"/>
        <v>5558.22</v>
      </c>
      <c r="Q86" s="3">
        <f t="shared" si="6"/>
        <v>5558.22</v>
      </c>
      <c r="R86" s="3">
        <f t="shared" si="6"/>
        <v>5558.22</v>
      </c>
      <c r="S86" s="3">
        <f t="shared" si="6"/>
        <v>5558.22</v>
      </c>
      <c r="T86" s="3">
        <f t="shared" si="6"/>
        <v>5558.22</v>
      </c>
      <c r="U86" s="3">
        <f t="shared" si="6"/>
        <v>5558.22</v>
      </c>
      <c r="V86" s="3">
        <f t="shared" si="6"/>
        <v>5558.22</v>
      </c>
      <c r="W86" s="3">
        <f t="shared" si="6"/>
        <v>5558.22</v>
      </c>
    </row>
    <row r="87" spans="1:23">
      <c r="A87" s="53" t="s">
        <v>177</v>
      </c>
      <c r="B87" t="s">
        <v>184</v>
      </c>
      <c r="D87" s="3">
        <f>D86*C17</f>
        <v>8059419</v>
      </c>
      <c r="E87" s="3">
        <f>D87*(1+$C$18)</f>
        <v>8140013.1900000004</v>
      </c>
      <c r="F87" s="3">
        <f t="shared" ref="F87:W87" si="7">E87*(1+$C$18)</f>
        <v>8221413.3219000008</v>
      </c>
      <c r="G87" s="3">
        <f t="shared" si="7"/>
        <v>8303627.4551190007</v>
      </c>
      <c r="H87" s="3">
        <f t="shared" si="7"/>
        <v>8386663.7296701912</v>
      </c>
      <c r="I87" s="3">
        <f t="shared" si="7"/>
        <v>8470530.3669668939</v>
      </c>
      <c r="J87" s="3">
        <f t="shared" si="7"/>
        <v>8555235.6706365626</v>
      </c>
      <c r="K87" s="3">
        <f t="shared" si="7"/>
        <v>8640788.0273429286</v>
      </c>
      <c r="L87" s="3">
        <f t="shared" si="7"/>
        <v>8727195.9076163583</v>
      </c>
      <c r="M87" s="3">
        <f t="shared" si="7"/>
        <v>8814467.8666925225</v>
      </c>
      <c r="N87" s="3">
        <f t="shared" si="7"/>
        <v>8902612.5453594476</v>
      </c>
      <c r="O87" s="3">
        <f t="shared" si="7"/>
        <v>8991638.6708130427</v>
      </c>
      <c r="P87" s="3">
        <f t="shared" si="7"/>
        <v>9081555.0575211737</v>
      </c>
      <c r="Q87" s="3">
        <f t="shared" si="7"/>
        <v>9172370.6080963854</v>
      </c>
      <c r="R87" s="3">
        <f t="shared" si="7"/>
        <v>9264094.3141773492</v>
      </c>
      <c r="S87" s="3">
        <f t="shared" si="7"/>
        <v>9356735.2573191226</v>
      </c>
      <c r="T87" s="3">
        <f t="shared" si="7"/>
        <v>9450302.6098923143</v>
      </c>
      <c r="U87" s="3">
        <f t="shared" si="7"/>
        <v>9544805.6359912381</v>
      </c>
      <c r="V87" s="3">
        <f t="shared" si="7"/>
        <v>9640253.6923511513</v>
      </c>
      <c r="W87" s="3">
        <f t="shared" si="7"/>
        <v>9736656.2292746622</v>
      </c>
    </row>
    <row r="88" spans="1:23">
      <c r="A88" s="53" t="s">
        <v>205</v>
      </c>
      <c r="B88" t="s">
        <v>210</v>
      </c>
      <c r="D88" s="3">
        <f>vodík!E18</f>
        <v>927.19290299340423</v>
      </c>
      <c r="E88" s="3">
        <f>D88</f>
        <v>927.19290299340423</v>
      </c>
      <c r="F88" s="3">
        <f t="shared" ref="F88:W88" si="8">E88</f>
        <v>927.19290299340423</v>
      </c>
      <c r="G88" s="3">
        <f t="shared" si="8"/>
        <v>927.19290299340423</v>
      </c>
      <c r="H88" s="3">
        <f t="shared" si="8"/>
        <v>927.19290299340423</v>
      </c>
      <c r="I88" s="3">
        <f t="shared" si="8"/>
        <v>927.19290299340423</v>
      </c>
      <c r="J88" s="3">
        <f t="shared" si="8"/>
        <v>927.19290299340423</v>
      </c>
      <c r="K88" s="3">
        <f t="shared" si="8"/>
        <v>927.19290299340423</v>
      </c>
      <c r="L88" s="3">
        <f t="shared" si="8"/>
        <v>927.19290299340423</v>
      </c>
      <c r="M88" s="3">
        <f t="shared" si="8"/>
        <v>927.19290299340423</v>
      </c>
      <c r="N88" s="3">
        <f t="shared" si="8"/>
        <v>927.19290299340423</v>
      </c>
      <c r="O88" s="3">
        <f t="shared" si="8"/>
        <v>927.19290299340423</v>
      </c>
      <c r="P88" s="3">
        <f t="shared" si="8"/>
        <v>927.19290299340423</v>
      </c>
      <c r="Q88" s="3">
        <f t="shared" si="8"/>
        <v>927.19290299340423</v>
      </c>
      <c r="R88" s="3">
        <f t="shared" si="8"/>
        <v>927.19290299340423</v>
      </c>
      <c r="S88" s="3">
        <f t="shared" si="8"/>
        <v>927.19290299340423</v>
      </c>
      <c r="T88" s="3">
        <f t="shared" si="8"/>
        <v>927.19290299340423</v>
      </c>
      <c r="U88" s="3">
        <f t="shared" si="8"/>
        <v>927.19290299340423</v>
      </c>
      <c r="V88" s="3">
        <f t="shared" si="8"/>
        <v>927.19290299340423</v>
      </c>
      <c r="W88" s="3">
        <f t="shared" si="8"/>
        <v>927.19290299340423</v>
      </c>
    </row>
    <row r="89" spans="1:23">
      <c r="A89" s="53" t="s">
        <v>211</v>
      </c>
      <c r="D89" s="3">
        <f>D88*$C$19</f>
        <v>4016544.0241932473</v>
      </c>
      <c r="E89" s="3">
        <f>D89*(1+$C$20)</f>
        <v>4096874.9046771121</v>
      </c>
      <c r="F89" s="3">
        <f t="shared" ref="F89:W89" si="9">E89*(1+$C$20)</f>
        <v>4178812.4027706543</v>
      </c>
      <c r="G89" s="3">
        <f t="shared" si="9"/>
        <v>4262388.6508260677</v>
      </c>
      <c r="H89" s="3">
        <f t="shared" si="9"/>
        <v>4347636.4238425894</v>
      </c>
      <c r="I89" s="3">
        <f t="shared" si="9"/>
        <v>4434589.1523194415</v>
      </c>
      <c r="J89" s="3">
        <f t="shared" si="9"/>
        <v>4523280.9353658305</v>
      </c>
      <c r="K89" s="3">
        <f t="shared" si="9"/>
        <v>4613746.5540731475</v>
      </c>
      <c r="L89" s="3">
        <f t="shared" si="9"/>
        <v>4706021.4851546101</v>
      </c>
      <c r="M89" s="3">
        <f t="shared" si="9"/>
        <v>4800141.9148577023</v>
      </c>
      <c r="N89" s="3">
        <f t="shared" si="9"/>
        <v>4896144.7531548562</v>
      </c>
      <c r="O89" s="3">
        <f t="shared" si="9"/>
        <v>4994067.6482179537</v>
      </c>
      <c r="P89" s="3">
        <f t="shared" si="9"/>
        <v>5093949.0011823131</v>
      </c>
      <c r="Q89" s="3">
        <f t="shared" si="9"/>
        <v>5195827.9812059598</v>
      </c>
      <c r="R89" s="3">
        <f t="shared" si="9"/>
        <v>5299744.5408300795</v>
      </c>
      <c r="S89" s="3">
        <f t="shared" si="9"/>
        <v>5405739.4316466814</v>
      </c>
      <c r="T89" s="3">
        <f t="shared" si="9"/>
        <v>5513854.2202796154</v>
      </c>
      <c r="U89" s="3">
        <f t="shared" si="9"/>
        <v>5624131.304685208</v>
      </c>
      <c r="V89" s="3">
        <f t="shared" si="9"/>
        <v>5736613.9307789123</v>
      </c>
      <c r="W89" s="3">
        <f t="shared" si="9"/>
        <v>5851346.2093944903</v>
      </c>
    </row>
    <row r="90" spans="1:23">
      <c r="A90" t="s">
        <v>34</v>
      </c>
      <c r="B90" t="s">
        <v>183</v>
      </c>
      <c r="C90">
        <v>0</v>
      </c>
      <c r="D90" s="3">
        <f>C57*1000</f>
        <v>3336450</v>
      </c>
      <c r="E90" s="3">
        <f>D90*(1+$C$14)</f>
        <v>3336450</v>
      </c>
      <c r="F90" s="3">
        <f t="shared" ref="F90:W90" si="10">E90*(1+$C$14)</f>
        <v>3336450</v>
      </c>
      <c r="G90" s="3">
        <f t="shared" si="10"/>
        <v>3336450</v>
      </c>
      <c r="H90" s="3">
        <f t="shared" si="10"/>
        <v>3336450</v>
      </c>
      <c r="I90" s="3">
        <f t="shared" si="10"/>
        <v>3336450</v>
      </c>
      <c r="J90" s="3">
        <f t="shared" si="10"/>
        <v>3336450</v>
      </c>
      <c r="K90" s="3">
        <f t="shared" si="10"/>
        <v>3336450</v>
      </c>
      <c r="L90" s="3">
        <f t="shared" si="10"/>
        <v>3336450</v>
      </c>
      <c r="M90" s="3">
        <f t="shared" si="10"/>
        <v>3336450</v>
      </c>
      <c r="N90" s="3">
        <f t="shared" si="10"/>
        <v>3336450</v>
      </c>
      <c r="O90" s="3">
        <f t="shared" si="10"/>
        <v>3336450</v>
      </c>
      <c r="P90" s="3">
        <f t="shared" si="10"/>
        <v>3336450</v>
      </c>
      <c r="Q90" s="3">
        <f t="shared" si="10"/>
        <v>3336450</v>
      </c>
      <c r="R90" s="3">
        <f t="shared" si="10"/>
        <v>3336450</v>
      </c>
      <c r="S90" s="3">
        <f t="shared" si="10"/>
        <v>3336450</v>
      </c>
      <c r="T90" s="3">
        <f t="shared" si="10"/>
        <v>3336450</v>
      </c>
      <c r="U90" s="3">
        <f t="shared" si="10"/>
        <v>3336450</v>
      </c>
      <c r="V90" s="3">
        <f t="shared" si="10"/>
        <v>3336450</v>
      </c>
      <c r="W90" s="3">
        <f t="shared" si="10"/>
        <v>3336450</v>
      </c>
    </row>
    <row r="91" spans="1:23">
      <c r="A91" t="s">
        <v>66</v>
      </c>
      <c r="B91" t="s">
        <v>184</v>
      </c>
      <c r="C91">
        <v>0</v>
      </c>
      <c r="D91" s="3">
        <f>D85-D90-D83</f>
        <v>4010394.9780005943</v>
      </c>
      <c r="E91" s="3">
        <f t="shared" ref="E91:W91" si="11">E85-E90-E83</f>
        <v>4151972.7015606067</v>
      </c>
      <c r="F91" s="3">
        <f t="shared" si="11"/>
        <v>4302926.1868918184</v>
      </c>
      <c r="G91" s="3">
        <f t="shared" si="11"/>
        <v>4456879.8102296554</v>
      </c>
      <c r="H91" s="3">
        <f t="shared" si="11"/>
        <v>4613893.5743342489</v>
      </c>
      <c r="I91" s="3">
        <f t="shared" si="11"/>
        <v>4774028.6820209343</v>
      </c>
      <c r="J91" s="3">
        <f t="shared" si="11"/>
        <v>4937347.5601613531</v>
      </c>
      <c r="K91" s="3">
        <f t="shared" si="11"/>
        <v>5103913.8841645811</v>
      </c>
      <c r="L91" s="3">
        <f t="shared" si="11"/>
        <v>5273792.6029478712</v>
      </c>
      <c r="M91" s="3">
        <f t="shared" si="11"/>
        <v>5447049.9644068293</v>
      </c>
      <c r="N91" s="3">
        <f t="shared" si="11"/>
        <v>5620758.1413949663</v>
      </c>
      <c r="O91" s="3">
        <f t="shared" si="11"/>
        <v>5797974.2582228668</v>
      </c>
      <c r="P91" s="3">
        <f t="shared" si="11"/>
        <v>5981771.2176873256</v>
      </c>
      <c r="Q91" s="3">
        <f t="shared" si="11"/>
        <v>6169225.3286410719</v>
      </c>
      <c r="R91" s="3">
        <f t="shared" si="11"/>
        <v>6360409.7341138935</v>
      </c>
      <c r="S91" s="3">
        <f t="shared" si="11"/>
        <v>6555399.0399961723</v>
      </c>
      <c r="T91" s="3">
        <f t="shared" si="11"/>
        <v>6754269.344296095</v>
      </c>
      <c r="U91" s="3">
        <f t="shared" si="11"/>
        <v>6957098.2669820162</v>
      </c>
      <c r="V91" s="3">
        <f t="shared" si="11"/>
        <v>7163964.9804216586</v>
      </c>
      <c r="W91" s="3">
        <f t="shared" si="11"/>
        <v>7374950.2404300924</v>
      </c>
    </row>
    <row r="92" spans="1:23">
      <c r="A92" t="s">
        <v>68</v>
      </c>
      <c r="B92" t="s">
        <v>184</v>
      </c>
      <c r="C92">
        <v>0</v>
      </c>
      <c r="D92">
        <f>D85-D90-D78-D83</f>
        <v>-1085665.0219994055</v>
      </c>
      <c r="E92" s="3">
        <f t="shared" ref="E92:W92" si="12">E85-E90-E78-E83</f>
        <v>-604349.96510606026</v>
      </c>
      <c r="F92" s="3">
        <f t="shared" si="12"/>
        <v>-113659.14644151415</v>
      </c>
      <c r="G92" s="3">
        <f t="shared" si="12"/>
        <v>380031.81022965536</v>
      </c>
      <c r="H92" s="3">
        <f t="shared" si="12"/>
        <v>876782.90766758239</v>
      </c>
      <c r="I92" s="3">
        <f t="shared" si="12"/>
        <v>1376655.3486876017</v>
      </c>
      <c r="J92" s="3">
        <f t="shared" si="12"/>
        <v>1879711.5601613538</v>
      </c>
      <c r="K92" s="3">
        <f t="shared" si="12"/>
        <v>2386015.2174979146</v>
      </c>
      <c r="L92" s="3">
        <f t="shared" si="12"/>
        <v>2895631.2696145382</v>
      </c>
      <c r="M92" s="3">
        <f t="shared" si="12"/>
        <v>3408625.9644068303</v>
      </c>
      <c r="N92" s="3">
        <f t="shared" si="12"/>
        <v>3922071.4747283002</v>
      </c>
      <c r="O92" s="3">
        <f t="shared" si="12"/>
        <v>4439024.9248895338</v>
      </c>
      <c r="P92" s="3">
        <f t="shared" si="12"/>
        <v>4962559.2176873265</v>
      </c>
      <c r="Q92" s="3">
        <f t="shared" si="12"/>
        <v>5489750.6619744059</v>
      </c>
      <c r="R92" s="3">
        <f t="shared" si="12"/>
        <v>6020672.4007805614</v>
      </c>
      <c r="S92" s="3">
        <f t="shared" si="12"/>
        <v>6555399.0399961732</v>
      </c>
      <c r="T92" s="3">
        <f t="shared" si="12"/>
        <v>6754269.344296095</v>
      </c>
      <c r="U92" s="3">
        <f t="shared" si="12"/>
        <v>6957098.2669820162</v>
      </c>
      <c r="V92" s="3">
        <f t="shared" si="12"/>
        <v>7163964.9804216586</v>
      </c>
      <c r="W92" s="3">
        <f t="shared" si="12"/>
        <v>7374950.2404300924</v>
      </c>
    </row>
    <row r="93" spans="1:23">
      <c r="A93" t="s">
        <v>69</v>
      </c>
      <c r="B93" t="s">
        <v>184</v>
      </c>
      <c r="C93">
        <v>0</v>
      </c>
      <c r="D93">
        <f>IF(D92&gt;0,D92*$C$15,0)</f>
        <v>0</v>
      </c>
      <c r="E93" s="3">
        <f t="shared" ref="E93:W93" si="13">IF(E92&gt;0,E92*$C$15,0)</f>
        <v>0</v>
      </c>
      <c r="F93" s="3">
        <f t="shared" si="13"/>
        <v>0</v>
      </c>
      <c r="G93" s="3">
        <f t="shared" si="13"/>
        <v>72206.043943634519</v>
      </c>
      <c r="H93" s="3">
        <f t="shared" si="13"/>
        <v>166588.75245684065</v>
      </c>
      <c r="I93" s="3">
        <f t="shared" si="13"/>
        <v>261564.51625064434</v>
      </c>
      <c r="J93" s="3">
        <f t="shared" si="13"/>
        <v>357145.19643065723</v>
      </c>
      <c r="K93" s="3">
        <f t="shared" si="13"/>
        <v>453342.89132460376</v>
      </c>
      <c r="L93" s="3">
        <f t="shared" si="13"/>
        <v>550169.94122676225</v>
      </c>
      <c r="M93" s="3">
        <f t="shared" si="13"/>
        <v>647638.93323729781</v>
      </c>
      <c r="N93" s="3">
        <f t="shared" si="13"/>
        <v>745193.58019837702</v>
      </c>
      <c r="O93" s="3">
        <f t="shared" si="13"/>
        <v>843414.73572901147</v>
      </c>
      <c r="P93" s="3">
        <f t="shared" si="13"/>
        <v>942886.25136059208</v>
      </c>
      <c r="Q93" s="3">
        <f t="shared" si="13"/>
        <v>1043052.6257751371</v>
      </c>
      <c r="R93" s="3">
        <f t="shared" si="13"/>
        <v>1143927.7561483067</v>
      </c>
      <c r="S93" s="3">
        <f t="shared" si="13"/>
        <v>1245525.8175992728</v>
      </c>
      <c r="T93" s="3">
        <f t="shared" si="13"/>
        <v>1283311.1754162582</v>
      </c>
      <c r="U93" s="3">
        <f t="shared" si="13"/>
        <v>1321848.6707265831</v>
      </c>
      <c r="V93" s="3">
        <f t="shared" si="13"/>
        <v>1361153.3462801152</v>
      </c>
      <c r="W93" s="3">
        <f t="shared" si="13"/>
        <v>1401240.5456817176</v>
      </c>
    </row>
    <row r="94" spans="1:23">
      <c r="A94" t="s">
        <v>70</v>
      </c>
      <c r="C94" s="3">
        <f>C85-C90-C82-C79-C93</f>
        <v>-103566200</v>
      </c>
      <c r="D94" s="3">
        <f>D85-D90-D82-D79-D93+D87+D89</f>
        <v>4201985.7855271734</v>
      </c>
      <c r="E94" s="3">
        <f t="shared" ref="E94:W94" si="14">E85-E90-E82-E79-E93+E87+E89</f>
        <v>4849713.7779043857</v>
      </c>
      <c r="F94" s="3">
        <f t="shared" si="14"/>
        <v>5502795.641562474</v>
      </c>
      <c r="G94" s="3">
        <f t="shared" si="14"/>
        <v>6089124.350564423</v>
      </c>
      <c r="H94" s="3">
        <f t="shared" si="14"/>
        <v>6658830.2020568559</v>
      </c>
      <c r="I94" s="3">
        <f t="shared" si="14"/>
        <v>7233599.6600566255</v>
      </c>
      <c r="J94" s="3">
        <f t="shared" si="14"/>
        <v>7813525.6930664228</v>
      </c>
      <c r="K94" s="3">
        <f t="shared" si="14"/>
        <v>8398703.0459227208</v>
      </c>
      <c r="L94" s="3">
        <f t="shared" si="14"/>
        <v>8989228.2744920775</v>
      </c>
      <c r="M94" s="3">
        <f t="shared" si="14"/>
        <v>-25560000.131302111</v>
      </c>
      <c r="N94" s="3">
        <f t="shared" si="14"/>
        <v>10187286.976377562</v>
      </c>
      <c r="O94" s="3">
        <f t="shared" si="14"/>
        <v>10795024.30652485</v>
      </c>
      <c r="P94" s="3">
        <f t="shared" si="14"/>
        <v>11407945.438363556</v>
      </c>
      <c r="Q94" s="3">
        <f t="shared" si="14"/>
        <v>12026725.653834946</v>
      </c>
      <c r="R94" s="3">
        <f t="shared" si="14"/>
        <v>12651473.142973015</v>
      </c>
      <c r="S94" s="3">
        <f t="shared" si="14"/>
        <v>20077044.836362705</v>
      </c>
      <c r="T94" s="3">
        <f t="shared" si="14"/>
        <v>20438872.539051767</v>
      </c>
      <c r="U94" s="3">
        <f t="shared" si="14"/>
        <v>20807004.691931881</v>
      </c>
      <c r="V94" s="3">
        <f t="shared" si="14"/>
        <v>21181558.027271606</v>
      </c>
      <c r="W94" s="3">
        <f t="shared" si="14"/>
        <v>21562651.51841753</v>
      </c>
    </row>
    <row r="95" spans="1:23">
      <c r="A95" t="s">
        <v>71</v>
      </c>
      <c r="C95" s="3">
        <f>C94/POWER(1+$C$12,C72)</f>
        <v>-103566200</v>
      </c>
      <c r="D95" s="3">
        <f>D94/POWER(1+$C$12,D72)</f>
        <v>4001891.2243115935</v>
      </c>
      <c r="E95" s="3">
        <f t="shared" ref="E95:W95" si="15">E94/POWER(1+$C$12,E72)</f>
        <v>4398833.358643434</v>
      </c>
      <c r="F95" s="3">
        <f t="shared" si="15"/>
        <v>4753521.7722168006</v>
      </c>
      <c r="G95" s="3">
        <f t="shared" si="15"/>
        <v>5009537.672524862</v>
      </c>
      <c r="H95" s="3">
        <f t="shared" si="15"/>
        <v>5217367.7013820019</v>
      </c>
      <c r="I95" s="3">
        <f t="shared" si="15"/>
        <v>5397823.4394397298</v>
      </c>
      <c r="J95" s="3">
        <f t="shared" si="15"/>
        <v>5552926.8325543245</v>
      </c>
      <c r="K95" s="3">
        <f t="shared" si="15"/>
        <v>5684572.8114707265</v>
      </c>
      <c r="L95" s="3">
        <f t="shared" si="15"/>
        <v>5794536.6956547182</v>
      </c>
      <c r="M95" s="3">
        <f t="shared" si="15"/>
        <v>-15691622.841109915</v>
      </c>
      <c r="N95" s="3">
        <f t="shared" si="15"/>
        <v>5956295.7070679553</v>
      </c>
      <c r="O95" s="3">
        <f t="shared" si="15"/>
        <v>6011073.4640092971</v>
      </c>
      <c r="P95" s="3">
        <f t="shared" si="15"/>
        <v>6049877.0329607893</v>
      </c>
      <c r="Q95" s="3">
        <f t="shared" si="15"/>
        <v>6074313.7072211094</v>
      </c>
      <c r="R95" s="3">
        <f t="shared" si="15"/>
        <v>6085574.8978087259</v>
      </c>
      <c r="S95" s="3">
        <f t="shared" si="15"/>
        <v>9197525.5670757014</v>
      </c>
      <c r="T95" s="3">
        <f t="shared" si="15"/>
        <v>8917412.3872887995</v>
      </c>
      <c r="U95" s="3">
        <f t="shared" si="15"/>
        <v>8645740.2154223304</v>
      </c>
      <c r="V95" s="3">
        <f t="shared" si="15"/>
        <v>8382261.7739099925</v>
      </c>
      <c r="W95" s="3">
        <f t="shared" si="15"/>
        <v>8126736.5801471043</v>
      </c>
    </row>
    <row r="96" spans="1:23">
      <c r="A96" t="s">
        <v>72</v>
      </c>
      <c r="C96" s="3">
        <f>C95</f>
        <v>-103566200</v>
      </c>
      <c r="D96" s="3">
        <f>C96+D95</f>
        <v>-99564308.77568841</v>
      </c>
      <c r="E96" s="3">
        <f t="shared" ref="E96:W96" si="16">D96+E95</f>
        <v>-95165475.417044982</v>
      </c>
      <c r="F96" s="3">
        <f t="shared" si="16"/>
        <v>-90411953.644828185</v>
      </c>
      <c r="G96" s="3">
        <f t="shared" si="16"/>
        <v>-85402415.972303331</v>
      </c>
      <c r="H96" s="3">
        <f t="shared" si="16"/>
        <v>-80185048.270921335</v>
      </c>
      <c r="I96" s="3">
        <f t="shared" si="16"/>
        <v>-74787224.831481606</v>
      </c>
      <c r="J96" s="3">
        <f t="shared" si="16"/>
        <v>-69234297.99892728</v>
      </c>
      <c r="K96" s="3">
        <f t="shared" si="16"/>
        <v>-63549725.187456556</v>
      </c>
      <c r="L96" s="3">
        <f t="shared" si="16"/>
        <v>-57755188.491801836</v>
      </c>
      <c r="M96" s="3">
        <f t="shared" si="16"/>
        <v>-73446811.332911745</v>
      </c>
      <c r="N96" s="3">
        <f t="shared" si="16"/>
        <v>-67490515.625843793</v>
      </c>
      <c r="O96" s="3">
        <f t="shared" si="16"/>
        <v>-61479442.161834493</v>
      </c>
      <c r="P96" s="3">
        <f t="shared" si="16"/>
        <v>-55429565.128873706</v>
      </c>
      <c r="Q96" s="3">
        <f t="shared" si="16"/>
        <v>-49355251.4216526</v>
      </c>
      <c r="R96" s="3">
        <f t="shared" si="16"/>
        <v>-43269676.523843877</v>
      </c>
      <c r="S96" s="3">
        <f t="shared" si="16"/>
        <v>-34072150.956768177</v>
      </c>
      <c r="T96" s="3">
        <f t="shared" si="16"/>
        <v>-25154738.569479376</v>
      </c>
      <c r="U96" s="3">
        <f t="shared" si="16"/>
        <v>-16508998.354057046</v>
      </c>
      <c r="V96" s="3">
        <f t="shared" si="16"/>
        <v>-8126736.5801470531</v>
      </c>
      <c r="W96" s="3">
        <f t="shared" si="16"/>
        <v>5.1222741603851318E-8</v>
      </c>
    </row>
    <row r="98" spans="1:23">
      <c r="A98" s="2" t="s">
        <v>73</v>
      </c>
    </row>
    <row r="99" spans="1:23">
      <c r="A99" t="s">
        <v>48</v>
      </c>
      <c r="B99" s="25">
        <v>881.85838582818872</v>
      </c>
      <c r="C99" s="22" t="s">
        <v>49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>
      <c r="A100" t="s">
        <v>75</v>
      </c>
      <c r="B100">
        <v>0.02</v>
      </c>
    </row>
    <row r="102" spans="1:23">
      <c r="A102" s="2" t="s">
        <v>76</v>
      </c>
      <c r="B102" s="24">
        <f>NPV(C12,D94:W94)+C94</f>
        <v>0</v>
      </c>
    </row>
    <row r="103" spans="1:23">
      <c r="A103" s="2" t="s">
        <v>77</v>
      </c>
      <c r="B103" s="23">
        <f>IRR(C94:W94)</f>
        <v>5.0000000000000031E-2</v>
      </c>
    </row>
  </sheetData>
  <mergeCells count="1">
    <mergeCell ref="G3:I6"/>
  </mergeCells>
  <pageMargins left="0.70866141732283472" right="0.70866141732283472" top="0.78740157480314965" bottom="0.78740157480314965" header="0.31496062992125984" footer="0.31496062992125984"/>
  <pageSetup paperSize="9" scale="31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W103"/>
  <sheetViews>
    <sheetView topLeftCell="A52" workbookViewId="0">
      <selection activeCell="C83" sqref="C83"/>
    </sheetView>
  </sheetViews>
  <sheetFormatPr defaultRowHeight="14.4"/>
  <cols>
    <col min="1" max="1" width="25.44140625" customWidth="1"/>
    <col min="2" max="2" width="14.44140625" bestFit="1" customWidth="1"/>
    <col min="3" max="23" width="14.33203125" customWidth="1"/>
  </cols>
  <sheetData>
    <row r="2" spans="1:23" s="53" customFormat="1">
      <c r="A2" s="2" t="s">
        <v>24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23" s="53" customFormat="1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23" s="53" customFormat="1">
      <c r="A4" s="19" t="s">
        <v>79</v>
      </c>
      <c r="B4" s="19"/>
      <c r="C4" s="19"/>
      <c r="D4" s="19"/>
      <c r="E4" s="19" t="s">
        <v>89</v>
      </c>
      <c r="F4" s="19"/>
      <c r="G4"/>
      <c r="H4"/>
      <c r="I4"/>
      <c r="J4"/>
      <c r="K4"/>
      <c r="L4"/>
      <c r="M4"/>
      <c r="N4"/>
    </row>
    <row r="5" spans="1:23" s="53" customFormat="1">
      <c r="A5" s="19" t="s">
        <v>17</v>
      </c>
      <c r="B5" s="19"/>
      <c r="C5" s="19">
        <v>120</v>
      </c>
      <c r="D5" s="19" t="s">
        <v>18</v>
      </c>
      <c r="E5" s="27">
        <f>C5/3.6</f>
        <v>33.333333333333336</v>
      </c>
      <c r="F5" s="19" t="s">
        <v>110</v>
      </c>
      <c r="G5"/>
      <c r="H5"/>
      <c r="I5"/>
      <c r="J5"/>
      <c r="K5"/>
      <c r="L5"/>
      <c r="M5"/>
      <c r="N5"/>
    </row>
    <row r="6" spans="1:23" s="53" customFormat="1">
      <c r="A6" s="19" t="s">
        <v>111</v>
      </c>
      <c r="B6" s="19"/>
      <c r="C6" s="19">
        <v>0.09</v>
      </c>
      <c r="D6" s="19" t="s">
        <v>112</v>
      </c>
      <c r="E6" s="19"/>
      <c r="F6" s="19"/>
      <c r="G6"/>
      <c r="H6"/>
      <c r="I6"/>
      <c r="J6"/>
      <c r="K6"/>
      <c r="L6"/>
      <c r="M6"/>
      <c r="N6"/>
    </row>
    <row r="7" spans="1:23" s="53" customFormat="1">
      <c r="A7" s="19" t="s">
        <v>80</v>
      </c>
      <c r="B7" s="19"/>
      <c r="C7" s="19">
        <v>0.92</v>
      </c>
      <c r="D7" s="19"/>
      <c r="E7" s="19"/>
      <c r="F7" s="19"/>
      <c r="G7"/>
      <c r="H7"/>
      <c r="I7"/>
      <c r="J7"/>
      <c r="K7"/>
      <c r="L7"/>
      <c r="M7"/>
      <c r="N7"/>
    </row>
    <row r="8" spans="1:23" s="53" customFormat="1">
      <c r="A8" s="19" t="s">
        <v>81</v>
      </c>
      <c r="B8" s="19"/>
      <c r="C8" s="19">
        <f>C7-C9</f>
        <v>0.65700000000000003</v>
      </c>
      <c r="D8" s="19"/>
      <c r="E8" s="19"/>
      <c r="F8" s="19"/>
      <c r="G8"/>
      <c r="H8"/>
      <c r="I8"/>
      <c r="J8"/>
      <c r="K8"/>
      <c r="L8"/>
      <c r="M8"/>
      <c r="N8"/>
    </row>
    <row r="9" spans="1:23" s="53" customFormat="1">
      <c r="A9" s="19" t="s">
        <v>82</v>
      </c>
      <c r="B9" s="19"/>
      <c r="C9" s="19">
        <v>0.26300000000000001</v>
      </c>
      <c r="D9" s="19"/>
      <c r="E9" s="19"/>
      <c r="F9" s="19"/>
      <c r="G9"/>
      <c r="H9"/>
      <c r="I9"/>
      <c r="J9"/>
      <c r="K9"/>
      <c r="L9"/>
      <c r="M9"/>
      <c r="N9"/>
    </row>
    <row r="10" spans="1:23" s="53" customFormat="1">
      <c r="A10" s="19" t="s">
        <v>19</v>
      </c>
      <c r="B10" s="19"/>
      <c r="C10" s="27">
        <v>8338.3903200000004</v>
      </c>
      <c r="D10" s="19" t="s">
        <v>83</v>
      </c>
      <c r="E10" s="19">
        <f>C10/3.6</f>
        <v>2316.2195333333334</v>
      </c>
      <c r="F10" s="19" t="s">
        <v>209</v>
      </c>
      <c r="G10"/>
      <c r="H10"/>
      <c r="I10"/>
      <c r="J10"/>
      <c r="K10"/>
      <c r="L10"/>
      <c r="M10"/>
      <c r="N10"/>
      <c r="O10" s="55"/>
      <c r="P10" s="55"/>
      <c r="Q10" s="55"/>
      <c r="R10" s="55"/>
      <c r="S10" s="55"/>
      <c r="T10" s="55"/>
      <c r="U10" s="55"/>
      <c r="V10" s="55"/>
      <c r="W10" s="55"/>
    </row>
    <row r="11" spans="1:23" s="53" customFormat="1">
      <c r="A11" s="19" t="s">
        <v>39</v>
      </c>
      <c r="B11" s="19" t="s">
        <v>40</v>
      </c>
      <c r="C11" s="19">
        <v>20</v>
      </c>
      <c r="D11" s="19" t="s">
        <v>41</v>
      </c>
      <c r="E11" s="19"/>
      <c r="F11" s="19"/>
      <c r="G11"/>
      <c r="H11"/>
      <c r="I11"/>
      <c r="J11"/>
      <c r="K11"/>
      <c r="L11"/>
      <c r="M11"/>
      <c r="N11"/>
    </row>
    <row r="12" spans="1:23" s="53" customFormat="1">
      <c r="A12" s="19" t="s">
        <v>42</v>
      </c>
      <c r="B12" s="19" t="s">
        <v>16</v>
      </c>
      <c r="C12" s="19">
        <v>0.05</v>
      </c>
      <c r="D12" s="19"/>
      <c r="E12" s="19"/>
      <c r="F12" s="19"/>
      <c r="G12"/>
      <c r="H12"/>
      <c r="I12"/>
      <c r="J12"/>
      <c r="K12"/>
      <c r="L12"/>
      <c r="M12"/>
      <c r="N12"/>
    </row>
    <row r="13" spans="1:23" s="53" customFormat="1">
      <c r="A13" s="19" t="s">
        <v>54</v>
      </c>
      <c r="B13" s="19"/>
      <c r="C13" s="20">
        <v>1645000</v>
      </c>
      <c r="D13" s="19" t="s">
        <v>27</v>
      </c>
      <c r="E13" s="19"/>
      <c r="F13" s="19"/>
      <c r="G13"/>
      <c r="H13"/>
      <c r="I13"/>
      <c r="J13"/>
      <c r="K13"/>
      <c r="L13"/>
      <c r="M13"/>
      <c r="N13"/>
      <c r="O13" s="56"/>
      <c r="P13" s="56"/>
      <c r="Q13" s="56"/>
      <c r="R13" s="56"/>
      <c r="S13" s="56"/>
      <c r="T13" s="56"/>
      <c r="U13" s="56"/>
      <c r="V13" s="56"/>
      <c r="W13" s="56"/>
    </row>
    <row r="14" spans="1:23" s="53" customFormat="1">
      <c r="A14" s="19" t="s">
        <v>61</v>
      </c>
      <c r="B14" s="19"/>
      <c r="C14" s="19">
        <v>0</v>
      </c>
      <c r="D14" s="19"/>
      <c r="E14" s="19"/>
      <c r="F14" s="19"/>
      <c r="G14"/>
      <c r="H14"/>
      <c r="I14"/>
      <c r="J14"/>
      <c r="K14"/>
      <c r="L14"/>
      <c r="M14"/>
      <c r="N14"/>
      <c r="O14" s="57"/>
      <c r="P14" s="57"/>
      <c r="Q14" s="57"/>
      <c r="R14" s="57"/>
      <c r="S14" s="57"/>
      <c r="T14" s="57"/>
      <c r="U14" s="57"/>
      <c r="V14" s="57"/>
      <c r="W14" s="57"/>
    </row>
    <row r="15" spans="1:23" s="53" customFormat="1">
      <c r="A15" s="19" t="s">
        <v>67</v>
      </c>
      <c r="B15" s="19"/>
      <c r="C15" s="19">
        <v>0.19</v>
      </c>
      <c r="D15" s="19"/>
      <c r="E15" s="19"/>
      <c r="F15" s="19"/>
      <c r="G15"/>
      <c r="H15"/>
      <c r="I15"/>
      <c r="J15"/>
      <c r="K15"/>
      <c r="L15"/>
      <c r="M15"/>
      <c r="N15"/>
      <c r="O15" s="57"/>
      <c r="P15" s="57"/>
      <c r="Q15" s="57"/>
      <c r="R15" s="57"/>
      <c r="S15" s="57"/>
      <c r="T15" s="57"/>
      <c r="U15" s="57"/>
      <c r="V15" s="57"/>
      <c r="W15" s="57"/>
    </row>
    <row r="16" spans="1:23" s="53" customFormat="1">
      <c r="A16" s="19" t="s">
        <v>93</v>
      </c>
      <c r="B16" s="19"/>
      <c r="C16" s="19">
        <v>0.75</v>
      </c>
      <c r="D16" s="19"/>
      <c r="E16" s="19"/>
      <c r="F16" s="19"/>
      <c r="G16"/>
      <c r="H16"/>
      <c r="I16"/>
      <c r="J16"/>
      <c r="K16"/>
      <c r="L16"/>
      <c r="M16"/>
      <c r="N16"/>
      <c r="O16" s="57"/>
      <c r="P16" s="57"/>
      <c r="Q16" s="57"/>
      <c r="R16" s="57"/>
      <c r="S16" s="57"/>
      <c r="T16" s="57"/>
      <c r="U16" s="57"/>
      <c r="V16" s="57"/>
      <c r="W16" s="57"/>
    </row>
    <row r="17" spans="1:23" s="53" customFormat="1">
      <c r="A17" s="19" t="s">
        <v>178</v>
      </c>
      <c r="B17" s="19"/>
      <c r="C17" s="19">
        <v>1450</v>
      </c>
      <c r="D17" s="19" t="s">
        <v>179</v>
      </c>
      <c r="E17" s="19"/>
      <c r="F17" s="19"/>
      <c r="G17"/>
      <c r="H17"/>
      <c r="I17"/>
      <c r="J17"/>
      <c r="K17"/>
      <c r="L17"/>
      <c r="M17"/>
      <c r="N17"/>
    </row>
    <row r="18" spans="1:23" s="53" customFormat="1">
      <c r="A18" s="19" t="s">
        <v>180</v>
      </c>
      <c r="B18" s="19"/>
      <c r="C18" s="19">
        <v>0.01</v>
      </c>
      <c r="D18" s="19"/>
      <c r="E18" s="19"/>
      <c r="F18" s="19"/>
      <c r="G18"/>
      <c r="H18"/>
      <c r="I18"/>
      <c r="J18"/>
      <c r="K18"/>
      <c r="L18"/>
      <c r="M18"/>
      <c r="N18"/>
      <c r="O18" s="57"/>
      <c r="P18" s="57"/>
      <c r="Q18" s="57"/>
      <c r="R18" s="57"/>
      <c r="S18" s="57"/>
      <c r="T18" s="57"/>
      <c r="U18" s="57"/>
      <c r="V18" s="57"/>
      <c r="W18" s="57"/>
    </row>
    <row r="19" spans="1:23" s="53" customFormat="1">
      <c r="A19" s="19" t="s">
        <v>206</v>
      </c>
      <c r="B19" s="19" t="s">
        <v>207</v>
      </c>
      <c r="C19" s="19">
        <v>4331.9399999999996</v>
      </c>
      <c r="D19" s="19" t="s">
        <v>179</v>
      </c>
      <c r="E19" s="19"/>
      <c r="F19" s="19"/>
      <c r="G19"/>
      <c r="H19"/>
      <c r="I19"/>
      <c r="J19"/>
      <c r="K19"/>
      <c r="L19"/>
      <c r="M19"/>
      <c r="N19"/>
      <c r="O19" s="57"/>
      <c r="P19" s="57"/>
      <c r="Q19" s="57"/>
      <c r="R19" s="57"/>
      <c r="S19" s="57"/>
      <c r="T19" s="57"/>
      <c r="U19" s="57"/>
      <c r="V19" s="57"/>
      <c r="W19" s="57"/>
    </row>
    <row r="20" spans="1:23" s="53" customFormat="1">
      <c r="A20" s="19" t="s">
        <v>212</v>
      </c>
      <c r="B20" s="19"/>
      <c r="C20" s="19">
        <v>0.02</v>
      </c>
      <c r="D20" s="19"/>
      <c r="E20" s="19"/>
      <c r="F20" s="19"/>
      <c r="G20"/>
      <c r="H20"/>
      <c r="I20"/>
      <c r="J20"/>
      <c r="K20"/>
      <c r="L20"/>
      <c r="M20"/>
      <c r="N20"/>
      <c r="O20" s="57"/>
      <c r="P20" s="57"/>
      <c r="Q20" s="57"/>
      <c r="R20" s="57"/>
      <c r="S20" s="57"/>
      <c r="T20" s="57"/>
      <c r="U20" s="57"/>
      <c r="V20" s="57"/>
      <c r="W20" s="57"/>
    </row>
    <row r="21" spans="1:23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>
      <c r="A22" s="2" t="s">
        <v>25</v>
      </c>
    </row>
    <row r="23" spans="1:23">
      <c r="A23" s="22"/>
    </row>
    <row r="24" spans="1:23">
      <c r="A24" t="s">
        <v>86</v>
      </c>
    </row>
    <row r="25" spans="1:23">
      <c r="A25" s="22"/>
      <c r="B25" t="s">
        <v>87</v>
      </c>
      <c r="C25">
        <v>24</v>
      </c>
      <c r="D25" t="s">
        <v>88</v>
      </c>
      <c r="E25">
        <f>C25*3.6</f>
        <v>86.4</v>
      </c>
      <c r="F25" t="s">
        <v>20</v>
      </c>
    </row>
    <row r="26" spans="1:23">
      <c r="A26" s="22"/>
      <c r="B26" t="s">
        <v>84</v>
      </c>
      <c r="C26" s="21">
        <f>(E25*C7)/C8</f>
        <v>120.98630136986303</v>
      </c>
      <c r="D26" s="21" t="s">
        <v>90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>
      <c r="A27" s="22" t="s">
        <v>23</v>
      </c>
      <c r="B27" t="s">
        <v>21</v>
      </c>
      <c r="C27" s="30">
        <f>(C26*1000)/($C$5*$C$7)</f>
        <v>1095.8904109589041</v>
      </c>
      <c r="D27" s="30" t="s">
        <v>85</v>
      </c>
      <c r="E27" s="30"/>
      <c r="F27" s="30"/>
      <c r="G27" s="30"/>
      <c r="H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>
      <c r="A28" t="s">
        <v>91</v>
      </c>
      <c r="C28" s="21">
        <f>C27/24</f>
        <v>45.662100456621005</v>
      </c>
      <c r="D28" s="21" t="s">
        <v>92</v>
      </c>
      <c r="E28" s="21"/>
      <c r="F28" s="21"/>
      <c r="G28" s="21"/>
      <c r="H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>
      <c r="A29" s="22"/>
    </row>
    <row r="30" spans="1:23">
      <c r="A30" s="2" t="s">
        <v>95</v>
      </c>
    </row>
    <row r="31" spans="1:23">
      <c r="A31" t="s">
        <v>96</v>
      </c>
      <c r="B31" t="s">
        <v>97</v>
      </c>
      <c r="C31">
        <v>24</v>
      </c>
      <c r="D31" t="s">
        <v>97</v>
      </c>
    </row>
    <row r="32" spans="1:23">
      <c r="A32" t="s">
        <v>98</v>
      </c>
      <c r="B32" t="s">
        <v>99</v>
      </c>
      <c r="C32">
        <v>1</v>
      </c>
      <c r="D32" t="s">
        <v>100</v>
      </c>
    </row>
    <row r="33" spans="1:23">
      <c r="A33" t="s">
        <v>101</v>
      </c>
      <c r="B33" t="s">
        <v>102</v>
      </c>
      <c r="C33">
        <f>$C$31*(C32)</f>
        <v>24</v>
      </c>
      <c r="D33" t="s">
        <v>88</v>
      </c>
    </row>
    <row r="34" spans="1:23">
      <c r="A34" s="22"/>
    </row>
    <row r="35" spans="1:23">
      <c r="A35" s="22" t="s">
        <v>103</v>
      </c>
      <c r="B35" t="s">
        <v>94</v>
      </c>
      <c r="C35">
        <v>20</v>
      </c>
      <c r="D35" t="s">
        <v>104</v>
      </c>
    </row>
    <row r="36" spans="1:23">
      <c r="A36" s="22" t="s">
        <v>108</v>
      </c>
      <c r="B36" t="s">
        <v>109</v>
      </c>
      <c r="C36">
        <v>0.1</v>
      </c>
      <c r="D36" t="s">
        <v>104</v>
      </c>
    </row>
    <row r="37" spans="1:23">
      <c r="A37" s="22" t="s">
        <v>105</v>
      </c>
      <c r="C37">
        <f>C8</f>
        <v>0.65700000000000003</v>
      </c>
    </row>
    <row r="38" spans="1:23">
      <c r="A38" s="31" t="s">
        <v>106</v>
      </c>
      <c r="B38" s="18" t="s">
        <v>107</v>
      </c>
      <c r="C38" s="32">
        <f>((C33*1000)/($E$5*C37*$C$6))*C36/C35</f>
        <v>60.882800608828006</v>
      </c>
      <c r="D38" s="32" t="s">
        <v>85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1:23">
      <c r="A39" s="22"/>
    </row>
    <row r="40" spans="1:23">
      <c r="A40" s="2" t="s">
        <v>113</v>
      </c>
    </row>
    <row r="41" spans="1:23">
      <c r="A41" t="s">
        <v>96</v>
      </c>
      <c r="B41" t="s">
        <v>97</v>
      </c>
      <c r="C41">
        <v>0.5</v>
      </c>
      <c r="D41" t="s">
        <v>97</v>
      </c>
    </row>
    <row r="42" spans="1:23">
      <c r="A42" t="s">
        <v>98</v>
      </c>
      <c r="B42" t="s">
        <v>99</v>
      </c>
      <c r="C42">
        <v>1</v>
      </c>
      <c r="D42" t="s">
        <v>100</v>
      </c>
    </row>
    <row r="43" spans="1:23">
      <c r="A43" t="s">
        <v>101</v>
      </c>
      <c r="B43" t="s">
        <v>102</v>
      </c>
      <c r="C43">
        <f>$C$41*(C42)</f>
        <v>0.5</v>
      </c>
      <c r="D43" t="s">
        <v>88</v>
      </c>
    </row>
    <row r="44" spans="1:23">
      <c r="A44" s="22"/>
    </row>
    <row r="45" spans="1:23">
      <c r="A45" t="s">
        <v>114</v>
      </c>
      <c r="B45" t="s">
        <v>94</v>
      </c>
      <c r="C45">
        <v>0.4</v>
      </c>
      <c r="D45" t="s">
        <v>104</v>
      </c>
    </row>
    <row r="46" spans="1:23">
      <c r="A46" s="22" t="s">
        <v>108</v>
      </c>
      <c r="B46" t="s">
        <v>109</v>
      </c>
      <c r="C46">
        <v>0.1</v>
      </c>
      <c r="D46" t="s">
        <v>104</v>
      </c>
    </row>
    <row r="47" spans="1:23">
      <c r="A47" s="22" t="s">
        <v>105</v>
      </c>
      <c r="C47">
        <f>C37</f>
        <v>0.65700000000000003</v>
      </c>
    </row>
    <row r="48" spans="1:23">
      <c r="A48" s="31" t="s">
        <v>106</v>
      </c>
      <c r="B48" s="18" t="s">
        <v>107</v>
      </c>
      <c r="C48" s="32">
        <f>((C43*1000)/($E$5*C47*$C$6))*C46/C45</f>
        <v>63.419583967529171</v>
      </c>
      <c r="D48" s="32" t="s">
        <v>85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>
      <c r="A49" s="22"/>
    </row>
    <row r="50" spans="1:23">
      <c r="A50" t="s">
        <v>23</v>
      </c>
      <c r="B50" t="s">
        <v>21</v>
      </c>
      <c r="C50">
        <v>0</v>
      </c>
      <c r="D50" t="s">
        <v>22</v>
      </c>
    </row>
    <row r="51" spans="1:23">
      <c r="A51" t="s">
        <v>26</v>
      </c>
      <c r="B51" t="s">
        <v>28</v>
      </c>
      <c r="C51" s="3">
        <v>0</v>
      </c>
      <c r="D51" s="3" t="s">
        <v>27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3" spans="1:23">
      <c r="A53" t="s">
        <v>35</v>
      </c>
      <c r="B53" t="s">
        <v>29</v>
      </c>
      <c r="C53" s="3">
        <v>0</v>
      </c>
      <c r="D53" s="3" t="s">
        <v>27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t="s">
        <v>36</v>
      </c>
      <c r="B54" t="s">
        <v>30</v>
      </c>
      <c r="C54">
        <v>0</v>
      </c>
      <c r="D54" t="s">
        <v>27</v>
      </c>
    </row>
    <row r="55" spans="1:23">
      <c r="A55" t="s">
        <v>37</v>
      </c>
      <c r="B55" t="s">
        <v>31</v>
      </c>
      <c r="C55" s="3">
        <f>C53+C54</f>
        <v>0</v>
      </c>
      <c r="D55" s="3" t="s">
        <v>27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t="s">
        <v>38</v>
      </c>
      <c r="B56" t="s">
        <v>32</v>
      </c>
      <c r="C56">
        <f>Nps!B15</f>
        <v>3336.45</v>
      </c>
      <c r="D56" t="s">
        <v>27</v>
      </c>
    </row>
    <row r="57" spans="1:23">
      <c r="A57" t="s">
        <v>34</v>
      </c>
      <c r="B57" t="s">
        <v>33</v>
      </c>
      <c r="C57" s="3">
        <f>C55+C56</f>
        <v>3336.45</v>
      </c>
      <c r="D57" s="3" t="s">
        <v>27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t="s">
        <v>43</v>
      </c>
      <c r="B58" t="s">
        <v>44</v>
      </c>
      <c r="C58" s="3">
        <f>investice!B15+'společná investice'!B11</f>
        <v>103566.2</v>
      </c>
      <c r="D58" s="3" t="s">
        <v>27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t="s">
        <v>45</v>
      </c>
      <c r="B59" t="s">
        <v>15</v>
      </c>
      <c r="C59" s="16">
        <f>((1+C12)^C11*C12)/((1+C12)^C11-1)</f>
        <v>8.0242587190691314E-2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>
      <c r="A60" t="s">
        <v>46</v>
      </c>
      <c r="B60" t="s">
        <v>47</v>
      </c>
      <c r="C60" s="3">
        <f>C59*C58+C57</f>
        <v>11646.869833508576</v>
      </c>
      <c r="D60" s="3" t="s">
        <v>27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47" t="s">
        <v>74</v>
      </c>
      <c r="B61" s="47" t="s">
        <v>48</v>
      </c>
      <c r="C61" s="25">
        <f>C60/C10*1000</f>
        <v>1396.7767622454708</v>
      </c>
      <c r="D61" s="25" t="s">
        <v>49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4" spans="1:23">
      <c r="A64" s="2" t="s">
        <v>52</v>
      </c>
    </row>
    <row r="65" spans="1:23">
      <c r="A65" t="s">
        <v>53</v>
      </c>
      <c r="C65" s="3">
        <f>C58*1000-C13</f>
        <v>101921200</v>
      </c>
      <c r="D65" s="3" t="s">
        <v>27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t="s">
        <v>55</v>
      </c>
      <c r="C66">
        <v>0.05</v>
      </c>
    </row>
    <row r="67" spans="1:23">
      <c r="A67" t="s">
        <v>56</v>
      </c>
      <c r="C67">
        <v>15</v>
      </c>
      <c r="D67" t="s">
        <v>41</v>
      </c>
    </row>
    <row r="70" spans="1:23">
      <c r="A70" s="2" t="s">
        <v>50</v>
      </c>
    </row>
    <row r="71" spans="1:23">
      <c r="C71" s="2">
        <v>2015</v>
      </c>
      <c r="D71" s="2">
        <v>2016</v>
      </c>
      <c r="E71" s="2">
        <v>2017</v>
      </c>
      <c r="F71" s="2">
        <v>2018</v>
      </c>
      <c r="G71" s="2">
        <v>2019</v>
      </c>
      <c r="H71" s="2">
        <v>2020</v>
      </c>
      <c r="I71" s="2">
        <v>2021</v>
      </c>
      <c r="J71" s="2">
        <v>2022</v>
      </c>
      <c r="K71" s="2">
        <v>2023</v>
      </c>
      <c r="L71" s="2">
        <v>2024</v>
      </c>
      <c r="M71" s="2">
        <v>2025</v>
      </c>
      <c r="N71" s="2">
        <v>2026</v>
      </c>
      <c r="O71" s="2">
        <v>2027</v>
      </c>
      <c r="P71" s="2">
        <v>2028</v>
      </c>
      <c r="Q71" s="2">
        <v>2029</v>
      </c>
      <c r="R71" s="2">
        <v>2030</v>
      </c>
      <c r="S71" s="2">
        <v>2031</v>
      </c>
      <c r="T71" s="2">
        <v>2032</v>
      </c>
      <c r="U71" s="2">
        <v>2033</v>
      </c>
      <c r="V71" s="2">
        <v>2034</v>
      </c>
      <c r="W71" s="2">
        <v>2035</v>
      </c>
    </row>
    <row r="72" spans="1:23">
      <c r="A72" t="s">
        <v>51</v>
      </c>
      <c r="C72" s="2">
        <v>0</v>
      </c>
      <c r="D72" s="2">
        <v>1</v>
      </c>
      <c r="E72" s="2">
        <v>2</v>
      </c>
      <c r="F72" s="2">
        <v>3</v>
      </c>
      <c r="G72" s="2">
        <v>4</v>
      </c>
      <c r="H72" s="2">
        <v>5</v>
      </c>
      <c r="I72" s="2">
        <v>6</v>
      </c>
      <c r="J72" s="2">
        <v>7</v>
      </c>
      <c r="K72" s="2">
        <v>8</v>
      </c>
      <c r="L72" s="2">
        <v>9</v>
      </c>
      <c r="M72" s="2">
        <v>10</v>
      </c>
      <c r="N72" s="2">
        <v>11</v>
      </c>
      <c r="O72" s="2">
        <v>12</v>
      </c>
      <c r="P72" s="2">
        <v>13</v>
      </c>
      <c r="Q72" s="2">
        <v>14</v>
      </c>
      <c r="R72" s="2">
        <v>15</v>
      </c>
      <c r="S72" s="2">
        <v>16</v>
      </c>
      <c r="T72" s="2">
        <v>17</v>
      </c>
      <c r="U72" s="2">
        <v>18</v>
      </c>
      <c r="V72" s="2">
        <v>19</v>
      </c>
      <c r="W72" s="2">
        <v>20</v>
      </c>
    </row>
    <row r="75" spans="1:23">
      <c r="A75" s="2" t="s">
        <v>59</v>
      </c>
    </row>
    <row r="76" spans="1:23">
      <c r="A76" t="s">
        <v>58</v>
      </c>
      <c r="D76">
        <f>C65/C67</f>
        <v>6794746.666666667</v>
      </c>
      <c r="E76">
        <f>IF(E72&lt;=$C$67,$D$76,0)</f>
        <v>6794746.666666667</v>
      </c>
      <c r="F76">
        <f t="shared" ref="F76:W76" si="0">IF(F72&lt;=$C$67,$D$76,0)</f>
        <v>6794746.666666667</v>
      </c>
      <c r="G76">
        <f t="shared" si="0"/>
        <v>6794746.666666667</v>
      </c>
      <c r="H76">
        <f t="shared" si="0"/>
        <v>6794746.666666667</v>
      </c>
      <c r="I76">
        <f t="shared" si="0"/>
        <v>6794746.666666667</v>
      </c>
      <c r="J76">
        <f t="shared" si="0"/>
        <v>6794746.666666667</v>
      </c>
      <c r="K76">
        <f t="shared" si="0"/>
        <v>6794746.666666667</v>
      </c>
      <c r="L76">
        <f t="shared" si="0"/>
        <v>6794746.666666667</v>
      </c>
      <c r="M76">
        <f t="shared" si="0"/>
        <v>6794746.666666667</v>
      </c>
      <c r="N76">
        <f t="shared" si="0"/>
        <v>6794746.666666667</v>
      </c>
      <c r="O76">
        <f t="shared" si="0"/>
        <v>6794746.666666667</v>
      </c>
      <c r="P76">
        <f t="shared" si="0"/>
        <v>6794746.666666667</v>
      </c>
      <c r="Q76">
        <f t="shared" si="0"/>
        <v>6794746.666666667</v>
      </c>
      <c r="R76">
        <f t="shared" si="0"/>
        <v>6794746.666666667</v>
      </c>
      <c r="S76">
        <f t="shared" si="0"/>
        <v>0</v>
      </c>
      <c r="T76">
        <f t="shared" si="0"/>
        <v>0</v>
      </c>
      <c r="U76">
        <f t="shared" si="0"/>
        <v>0</v>
      </c>
      <c r="V76">
        <f t="shared" si="0"/>
        <v>0</v>
      </c>
      <c r="W76">
        <f t="shared" si="0"/>
        <v>0</v>
      </c>
    </row>
    <row r="77" spans="1:23">
      <c r="A77" t="s">
        <v>60</v>
      </c>
      <c r="D77">
        <f>C65-D76</f>
        <v>95126453.333333328</v>
      </c>
      <c r="E77">
        <f>IF(E76=0,0,D77-E76)</f>
        <v>88331706.666666657</v>
      </c>
      <c r="F77">
        <f t="shared" ref="F77:W77" si="1">IF(F76=0,0,E77-F76)</f>
        <v>81536959.999999985</v>
      </c>
      <c r="G77">
        <f t="shared" si="1"/>
        <v>74742213.333333313</v>
      </c>
      <c r="H77">
        <f t="shared" si="1"/>
        <v>67947466.666666642</v>
      </c>
      <c r="I77">
        <f t="shared" si="1"/>
        <v>61152719.999999978</v>
      </c>
      <c r="J77">
        <f t="shared" si="1"/>
        <v>54357973.333333313</v>
      </c>
      <c r="K77">
        <f t="shared" si="1"/>
        <v>47563226.666666649</v>
      </c>
      <c r="L77">
        <f t="shared" si="1"/>
        <v>40768479.999999985</v>
      </c>
      <c r="M77">
        <f t="shared" si="1"/>
        <v>33973733.333333321</v>
      </c>
      <c r="N77">
        <f t="shared" si="1"/>
        <v>27178986.666666653</v>
      </c>
      <c r="O77">
        <f t="shared" si="1"/>
        <v>20384239.999999985</v>
      </c>
      <c r="P77">
        <f t="shared" si="1"/>
        <v>13589493.333333317</v>
      </c>
      <c r="Q77">
        <f t="shared" si="1"/>
        <v>6794746.6666666502</v>
      </c>
      <c r="R77">
        <f t="shared" si="1"/>
        <v>-1.6763806343078613E-8</v>
      </c>
      <c r="S77">
        <f t="shared" si="1"/>
        <v>0</v>
      </c>
      <c r="T77">
        <f t="shared" si="1"/>
        <v>0</v>
      </c>
      <c r="U77">
        <f t="shared" si="1"/>
        <v>0</v>
      </c>
      <c r="V77">
        <f t="shared" si="1"/>
        <v>0</v>
      </c>
      <c r="W77">
        <f t="shared" si="1"/>
        <v>0</v>
      </c>
    </row>
    <row r="78" spans="1:23">
      <c r="A78" t="s">
        <v>57</v>
      </c>
      <c r="D78">
        <f>C65*C66</f>
        <v>5096060</v>
      </c>
      <c r="E78">
        <f>$C$66*D77</f>
        <v>4756322.666666667</v>
      </c>
      <c r="F78">
        <f t="shared" ref="F78:W78" si="2">$C$66*E77</f>
        <v>4416585.333333333</v>
      </c>
      <c r="G78">
        <f t="shared" si="2"/>
        <v>4076847.9999999995</v>
      </c>
      <c r="H78">
        <f t="shared" si="2"/>
        <v>3737110.666666666</v>
      </c>
      <c r="I78">
        <f t="shared" si="2"/>
        <v>3397373.3333333321</v>
      </c>
      <c r="J78">
        <f t="shared" si="2"/>
        <v>3057635.9999999991</v>
      </c>
      <c r="K78">
        <f t="shared" si="2"/>
        <v>2717898.666666666</v>
      </c>
      <c r="L78">
        <f t="shared" si="2"/>
        <v>2378161.3333333326</v>
      </c>
      <c r="M78">
        <f t="shared" si="2"/>
        <v>2038423.9999999993</v>
      </c>
      <c r="N78">
        <f t="shared" si="2"/>
        <v>1698686.666666666</v>
      </c>
      <c r="O78">
        <f t="shared" si="2"/>
        <v>1358949.3333333328</v>
      </c>
      <c r="P78">
        <f t="shared" si="2"/>
        <v>1019211.9999999993</v>
      </c>
      <c r="Q78">
        <f t="shared" si="2"/>
        <v>679474.66666666593</v>
      </c>
      <c r="R78">
        <f t="shared" si="2"/>
        <v>339737.33333333256</v>
      </c>
      <c r="S78">
        <f t="shared" si="2"/>
        <v>-8.3819031715393068E-10</v>
      </c>
      <c r="T78">
        <f t="shared" si="2"/>
        <v>0</v>
      </c>
      <c r="U78">
        <f t="shared" si="2"/>
        <v>0</v>
      </c>
      <c r="V78">
        <f t="shared" si="2"/>
        <v>0</v>
      </c>
      <c r="W78">
        <f t="shared" si="2"/>
        <v>0</v>
      </c>
    </row>
    <row r="79" spans="1:23">
      <c r="A79" t="s">
        <v>65</v>
      </c>
      <c r="D79">
        <f>D76+D78</f>
        <v>11890806.666666668</v>
      </c>
      <c r="E79">
        <f t="shared" ref="E79:W79" si="3">E76+E78</f>
        <v>11551069.333333334</v>
      </c>
      <c r="F79">
        <f t="shared" si="3"/>
        <v>11211332</v>
      </c>
      <c r="G79">
        <f t="shared" si="3"/>
        <v>10871594.666666666</v>
      </c>
      <c r="H79">
        <f t="shared" si="3"/>
        <v>10531857.333333332</v>
      </c>
      <c r="I79">
        <f t="shared" si="3"/>
        <v>10192120</v>
      </c>
      <c r="J79">
        <f t="shared" si="3"/>
        <v>9852382.666666666</v>
      </c>
      <c r="K79">
        <f t="shared" si="3"/>
        <v>9512645.3333333321</v>
      </c>
      <c r="L79">
        <f t="shared" si="3"/>
        <v>9172908</v>
      </c>
      <c r="M79">
        <f t="shared" si="3"/>
        <v>8833170.666666666</v>
      </c>
      <c r="N79">
        <f t="shared" si="3"/>
        <v>8493433.3333333321</v>
      </c>
      <c r="O79">
        <f t="shared" si="3"/>
        <v>8153696</v>
      </c>
      <c r="P79">
        <f t="shared" si="3"/>
        <v>7813958.666666666</v>
      </c>
      <c r="Q79">
        <f t="shared" si="3"/>
        <v>7474221.333333333</v>
      </c>
      <c r="R79">
        <f t="shared" si="3"/>
        <v>7134484</v>
      </c>
      <c r="S79">
        <f t="shared" si="3"/>
        <v>-8.3819031715393068E-10</v>
      </c>
      <c r="T79">
        <f t="shared" si="3"/>
        <v>0</v>
      </c>
      <c r="U79">
        <f t="shared" si="3"/>
        <v>0</v>
      </c>
      <c r="V79">
        <f t="shared" si="3"/>
        <v>0</v>
      </c>
      <c r="W79">
        <f t="shared" si="3"/>
        <v>0</v>
      </c>
    </row>
    <row r="82" spans="1:23">
      <c r="A82" t="s">
        <v>43</v>
      </c>
      <c r="B82" t="s">
        <v>44</v>
      </c>
      <c r="C82" s="3">
        <f>C58*1000</f>
        <v>103566200</v>
      </c>
      <c r="D82" s="3"/>
      <c r="E82" s="3"/>
      <c r="F82" s="3"/>
      <c r="G82" s="3"/>
      <c r="H82" s="3"/>
      <c r="I82" s="3"/>
      <c r="J82" s="3"/>
      <c r="K82" s="3"/>
      <c r="L82" s="3"/>
      <c r="M82" s="3">
        <f>C58*0.339350096*1000</f>
        <v>35145199.912355199</v>
      </c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t="s">
        <v>64</v>
      </c>
      <c r="C83">
        <v>0</v>
      </c>
      <c r="D83">
        <f>investice!C21+'společná investice'!C32</f>
        <v>6434.4500000000007</v>
      </c>
      <c r="E83">
        <f>investice!D21+'společná investice'!D32</f>
        <v>11922.315000000002</v>
      </c>
      <c r="F83">
        <f>investice!E21+'společná investice'!E32</f>
        <v>10975.73</v>
      </c>
      <c r="G83">
        <f>investice!F21+'společná investice'!F32</f>
        <v>10029.145</v>
      </c>
      <c r="H83">
        <f>investice!G21+'společná investice'!G32</f>
        <v>9082.56</v>
      </c>
      <c r="I83">
        <f>investice!H21+'společná investice'!H32</f>
        <v>8135.9750000000004</v>
      </c>
      <c r="J83">
        <f>investice!I21+'společná investice'!I32</f>
        <v>7189.39</v>
      </c>
      <c r="K83">
        <f>investice!J21+'společná investice'!J32</f>
        <v>6242.8050000000003</v>
      </c>
      <c r="L83">
        <f>investice!K21+'společná investice'!K32</f>
        <v>5296.2200000000012</v>
      </c>
      <c r="M83">
        <f>investice!L21+'společná investice'!L32</f>
        <v>4349.635000000002</v>
      </c>
      <c r="N83">
        <f>investice!M21+'společná investice'!M32</f>
        <v>6398.4499999999989</v>
      </c>
      <c r="O83">
        <f>investice!N21+'společná investice'!N32</f>
        <v>8454.4650000000001</v>
      </c>
      <c r="P83">
        <f>investice!O21+'společná investice'!O32</f>
        <v>7515.0799999999981</v>
      </c>
      <c r="Q83">
        <f>investice!P21+'společná investice'!P32</f>
        <v>6575.6949999999979</v>
      </c>
      <c r="R83">
        <f>investice!Q21+'společná investice'!Q32</f>
        <v>5636.3099999999995</v>
      </c>
      <c r="S83">
        <f>investice!R21+'společná investice'!R32</f>
        <v>4696.9249999999993</v>
      </c>
      <c r="T83">
        <f>investice!S21+'společná investice'!S32</f>
        <v>3757.5399999999991</v>
      </c>
      <c r="U83">
        <f>investice!T21+'společná investice'!T32</f>
        <v>2818.1550000000016</v>
      </c>
      <c r="V83">
        <f>investice!U21+'společná investice'!U32</f>
        <v>1878.7700000000068</v>
      </c>
      <c r="W83">
        <f>investice!V21+'společná investice'!V32</f>
        <v>939.38500000000931</v>
      </c>
    </row>
    <row r="84" spans="1:23">
      <c r="A84" s="18" t="s">
        <v>181</v>
      </c>
      <c r="D84" s="3">
        <f>B99</f>
        <v>652.17592912966802</v>
      </c>
      <c r="E84" s="3">
        <f>D84*(1+$B$100)</f>
        <v>665.2194477122614</v>
      </c>
      <c r="F84" s="3">
        <f>E84*(1+$B$100)</f>
        <v>678.52383666650667</v>
      </c>
      <c r="G84" s="3">
        <f t="shared" ref="G84:W84" si="4">F84*(1+$B$100)</f>
        <v>692.09431339983678</v>
      </c>
      <c r="H84" s="3">
        <f t="shared" si="4"/>
        <v>705.93619966783353</v>
      </c>
      <c r="I84" s="3">
        <f t="shared" si="4"/>
        <v>720.05492366119017</v>
      </c>
      <c r="J84" s="3">
        <f t="shared" si="4"/>
        <v>734.45602213441396</v>
      </c>
      <c r="K84" s="3">
        <f t="shared" si="4"/>
        <v>749.14514257710221</v>
      </c>
      <c r="L84" s="3">
        <f t="shared" si="4"/>
        <v>764.12804542864421</v>
      </c>
      <c r="M84" s="3">
        <f t="shared" si="4"/>
        <v>779.41060633721713</v>
      </c>
      <c r="N84" s="3">
        <f t="shared" si="4"/>
        <v>794.99881846396147</v>
      </c>
      <c r="O84" s="3">
        <f t="shared" si="4"/>
        <v>810.89879483324069</v>
      </c>
      <c r="P84" s="3">
        <f t="shared" si="4"/>
        <v>827.11677072990551</v>
      </c>
      <c r="Q84" s="3">
        <f t="shared" si="4"/>
        <v>843.65910614450365</v>
      </c>
      <c r="R84" s="3">
        <f t="shared" si="4"/>
        <v>860.53228826739371</v>
      </c>
      <c r="S84" s="3">
        <f t="shared" si="4"/>
        <v>877.74293403274157</v>
      </c>
      <c r="T84" s="3">
        <f t="shared" si="4"/>
        <v>895.29779271339646</v>
      </c>
      <c r="U84" s="3">
        <f t="shared" si="4"/>
        <v>913.20374856766443</v>
      </c>
      <c r="V84" s="3">
        <f t="shared" si="4"/>
        <v>931.46782353901779</v>
      </c>
      <c r="W84" s="3">
        <f t="shared" si="4"/>
        <v>950.09718000979819</v>
      </c>
    </row>
    <row r="85" spans="1:23">
      <c r="A85" s="18" t="s">
        <v>213</v>
      </c>
      <c r="C85">
        <v>0</v>
      </c>
      <c r="D85" s="3">
        <f>$C$10*D84</f>
        <v>5438097.4543918297</v>
      </c>
      <c r="E85" s="3">
        <f t="shared" ref="E85:W85" si="5">$C$10*E84</f>
        <v>5546859.4034796664</v>
      </c>
      <c r="F85" s="3">
        <f t="shared" si="5"/>
        <v>5657796.5915492605</v>
      </c>
      <c r="G85" s="3">
        <f t="shared" si="5"/>
        <v>5770952.523380246</v>
      </c>
      <c r="H85" s="3">
        <f t="shared" si="5"/>
        <v>5886371.5738478508</v>
      </c>
      <c r="I85" s="3">
        <f t="shared" si="5"/>
        <v>6004099.005324807</v>
      </c>
      <c r="J85" s="3">
        <f t="shared" si="5"/>
        <v>6124180.9854313033</v>
      </c>
      <c r="K85" s="3">
        <f t="shared" si="5"/>
        <v>6246664.6051399289</v>
      </c>
      <c r="L85" s="3">
        <f t="shared" si="5"/>
        <v>6371597.8972427277</v>
      </c>
      <c r="M85" s="3">
        <f t="shared" si="5"/>
        <v>6499029.8551875828</v>
      </c>
      <c r="N85" s="3">
        <f t="shared" si="5"/>
        <v>6629010.452291334</v>
      </c>
      <c r="O85" s="3">
        <f t="shared" si="5"/>
        <v>6761590.6613371605</v>
      </c>
      <c r="P85" s="3">
        <f t="shared" si="5"/>
        <v>6896822.4745639041</v>
      </c>
      <c r="Q85" s="3">
        <f t="shared" si="5"/>
        <v>7034758.9240551824</v>
      </c>
      <c r="R85" s="3">
        <f t="shared" si="5"/>
        <v>7175454.1025362853</v>
      </c>
      <c r="S85" s="3">
        <f t="shared" si="5"/>
        <v>7318963.1845870111</v>
      </c>
      <c r="T85" s="3">
        <f t="shared" si="5"/>
        <v>7465342.4482787522</v>
      </c>
      <c r="U85" s="3">
        <f t="shared" si="5"/>
        <v>7614649.2972443271</v>
      </c>
      <c r="V85" s="3">
        <f t="shared" si="5"/>
        <v>7766942.2831892148</v>
      </c>
      <c r="W85" s="3">
        <f t="shared" si="5"/>
        <v>7922281.1288529988</v>
      </c>
    </row>
    <row r="86" spans="1:23">
      <c r="A86" s="18" t="s">
        <v>182</v>
      </c>
      <c r="B86" t="s">
        <v>176</v>
      </c>
      <c r="D86" s="3">
        <f>VTE!B18</f>
        <v>5558.22</v>
      </c>
      <c r="E86" s="3">
        <f>$D$86</f>
        <v>5558.22</v>
      </c>
      <c r="F86" s="3">
        <f t="shared" ref="F86:W86" si="6">$D$86</f>
        <v>5558.22</v>
      </c>
      <c r="G86" s="3">
        <f t="shared" si="6"/>
        <v>5558.22</v>
      </c>
      <c r="H86" s="3">
        <f t="shared" si="6"/>
        <v>5558.22</v>
      </c>
      <c r="I86" s="3">
        <f t="shared" si="6"/>
        <v>5558.22</v>
      </c>
      <c r="J86" s="3">
        <f t="shared" si="6"/>
        <v>5558.22</v>
      </c>
      <c r="K86" s="3">
        <f t="shared" si="6"/>
        <v>5558.22</v>
      </c>
      <c r="L86" s="3">
        <f t="shared" si="6"/>
        <v>5558.22</v>
      </c>
      <c r="M86" s="3">
        <f t="shared" si="6"/>
        <v>5558.22</v>
      </c>
      <c r="N86" s="3">
        <f t="shared" si="6"/>
        <v>5558.22</v>
      </c>
      <c r="O86" s="3">
        <f t="shared" si="6"/>
        <v>5558.22</v>
      </c>
      <c r="P86" s="3">
        <f t="shared" si="6"/>
        <v>5558.22</v>
      </c>
      <c r="Q86" s="3">
        <f t="shared" si="6"/>
        <v>5558.22</v>
      </c>
      <c r="R86" s="3">
        <f t="shared" si="6"/>
        <v>5558.22</v>
      </c>
      <c r="S86" s="3">
        <f t="shared" si="6"/>
        <v>5558.22</v>
      </c>
      <c r="T86" s="3">
        <f t="shared" si="6"/>
        <v>5558.22</v>
      </c>
      <c r="U86" s="3">
        <f t="shared" si="6"/>
        <v>5558.22</v>
      </c>
      <c r="V86" s="3">
        <f t="shared" si="6"/>
        <v>5558.22</v>
      </c>
      <c r="W86" s="3">
        <f t="shared" si="6"/>
        <v>5558.22</v>
      </c>
    </row>
    <row r="87" spans="1:23">
      <c r="A87" s="18" t="s">
        <v>177</v>
      </c>
      <c r="B87" t="s">
        <v>184</v>
      </c>
      <c r="D87" s="3">
        <f>D86*C17</f>
        <v>8059419</v>
      </c>
      <c r="E87" s="3">
        <f>D87*(1+$C$18)</f>
        <v>8140013.1900000004</v>
      </c>
      <c r="F87" s="3">
        <f t="shared" ref="F87:W87" si="7">E87*(1+$C$18)</f>
        <v>8221413.3219000008</v>
      </c>
      <c r="G87" s="3">
        <f t="shared" si="7"/>
        <v>8303627.4551190007</v>
      </c>
      <c r="H87" s="3">
        <f t="shared" si="7"/>
        <v>8386663.7296701912</v>
      </c>
      <c r="I87" s="3">
        <f t="shared" si="7"/>
        <v>8470530.3669668939</v>
      </c>
      <c r="J87" s="3">
        <f t="shared" si="7"/>
        <v>8555235.6706365626</v>
      </c>
      <c r="K87" s="3">
        <f t="shared" si="7"/>
        <v>8640788.0273429286</v>
      </c>
      <c r="L87" s="3">
        <f t="shared" si="7"/>
        <v>8727195.9076163583</v>
      </c>
      <c r="M87" s="3">
        <f t="shared" si="7"/>
        <v>8814467.8666925225</v>
      </c>
      <c r="N87" s="3">
        <f t="shared" si="7"/>
        <v>8902612.5453594476</v>
      </c>
      <c r="O87" s="3">
        <f t="shared" si="7"/>
        <v>8991638.6708130427</v>
      </c>
      <c r="P87" s="3">
        <f t="shared" si="7"/>
        <v>9081555.0575211737</v>
      </c>
      <c r="Q87" s="3">
        <f t="shared" si="7"/>
        <v>9172370.6080963854</v>
      </c>
      <c r="R87" s="3">
        <f t="shared" si="7"/>
        <v>9264094.3141773492</v>
      </c>
      <c r="S87" s="3">
        <f t="shared" si="7"/>
        <v>9356735.2573191226</v>
      </c>
      <c r="T87" s="3">
        <f t="shared" si="7"/>
        <v>9450302.6098923143</v>
      </c>
      <c r="U87" s="3">
        <f t="shared" si="7"/>
        <v>9544805.6359912381</v>
      </c>
      <c r="V87" s="3">
        <f t="shared" si="7"/>
        <v>9640253.6923511513</v>
      </c>
      <c r="W87" s="3">
        <f t="shared" si="7"/>
        <v>9736656.2292746622</v>
      </c>
    </row>
    <row r="88" spans="1:23">
      <c r="A88" s="18" t="s">
        <v>205</v>
      </c>
      <c r="B88" t="s">
        <v>210</v>
      </c>
      <c r="D88" s="3">
        <f>vodík!E18</f>
        <v>927.19290299340423</v>
      </c>
      <c r="E88" s="3">
        <f>D88</f>
        <v>927.19290299340423</v>
      </c>
      <c r="F88" s="3">
        <f t="shared" ref="F88:W88" si="8">E88</f>
        <v>927.19290299340423</v>
      </c>
      <c r="G88" s="3">
        <f t="shared" si="8"/>
        <v>927.19290299340423</v>
      </c>
      <c r="H88" s="3">
        <f t="shared" si="8"/>
        <v>927.19290299340423</v>
      </c>
      <c r="I88" s="3">
        <f t="shared" si="8"/>
        <v>927.19290299340423</v>
      </c>
      <c r="J88" s="3">
        <f t="shared" si="8"/>
        <v>927.19290299340423</v>
      </c>
      <c r="K88" s="3">
        <f t="shared" si="8"/>
        <v>927.19290299340423</v>
      </c>
      <c r="L88" s="3">
        <f t="shared" si="8"/>
        <v>927.19290299340423</v>
      </c>
      <c r="M88" s="3">
        <f t="shared" si="8"/>
        <v>927.19290299340423</v>
      </c>
      <c r="N88" s="3">
        <f t="shared" si="8"/>
        <v>927.19290299340423</v>
      </c>
      <c r="O88" s="3">
        <f t="shared" si="8"/>
        <v>927.19290299340423</v>
      </c>
      <c r="P88" s="3">
        <f t="shared" si="8"/>
        <v>927.19290299340423</v>
      </c>
      <c r="Q88" s="3">
        <f t="shared" si="8"/>
        <v>927.19290299340423</v>
      </c>
      <c r="R88" s="3">
        <f t="shared" si="8"/>
        <v>927.19290299340423</v>
      </c>
      <c r="S88" s="3">
        <f t="shared" si="8"/>
        <v>927.19290299340423</v>
      </c>
      <c r="T88" s="3">
        <f t="shared" si="8"/>
        <v>927.19290299340423</v>
      </c>
      <c r="U88" s="3">
        <f t="shared" si="8"/>
        <v>927.19290299340423</v>
      </c>
      <c r="V88" s="3">
        <f t="shared" si="8"/>
        <v>927.19290299340423</v>
      </c>
      <c r="W88" s="3">
        <f t="shared" si="8"/>
        <v>927.19290299340423</v>
      </c>
    </row>
    <row r="89" spans="1:23">
      <c r="A89" s="18" t="s">
        <v>211</v>
      </c>
      <c r="D89" s="3">
        <f>D88*$C$19</f>
        <v>4016544.0241932473</v>
      </c>
      <c r="E89" s="3">
        <f>D89*(1+$C$20)</f>
        <v>4096874.9046771121</v>
      </c>
      <c r="F89" s="3">
        <f t="shared" ref="F89:W89" si="9">E89*(1+$C$20)</f>
        <v>4178812.4027706543</v>
      </c>
      <c r="G89" s="3">
        <f t="shared" si="9"/>
        <v>4262388.6508260677</v>
      </c>
      <c r="H89" s="3">
        <f t="shared" si="9"/>
        <v>4347636.4238425894</v>
      </c>
      <c r="I89" s="3">
        <f t="shared" si="9"/>
        <v>4434589.1523194415</v>
      </c>
      <c r="J89" s="3">
        <f t="shared" si="9"/>
        <v>4523280.9353658305</v>
      </c>
      <c r="K89" s="3">
        <f t="shared" si="9"/>
        <v>4613746.5540731475</v>
      </c>
      <c r="L89" s="3">
        <f t="shared" si="9"/>
        <v>4706021.4851546101</v>
      </c>
      <c r="M89" s="3">
        <f t="shared" si="9"/>
        <v>4800141.9148577023</v>
      </c>
      <c r="N89" s="3">
        <f t="shared" si="9"/>
        <v>4896144.7531548562</v>
      </c>
      <c r="O89" s="3">
        <f t="shared" si="9"/>
        <v>4994067.6482179537</v>
      </c>
      <c r="P89" s="3">
        <f t="shared" si="9"/>
        <v>5093949.0011823131</v>
      </c>
      <c r="Q89" s="3">
        <f t="shared" si="9"/>
        <v>5195827.9812059598</v>
      </c>
      <c r="R89" s="3">
        <f t="shared" si="9"/>
        <v>5299744.5408300795</v>
      </c>
      <c r="S89" s="3">
        <f t="shared" si="9"/>
        <v>5405739.4316466814</v>
      </c>
      <c r="T89" s="3">
        <f t="shared" si="9"/>
        <v>5513854.2202796154</v>
      </c>
      <c r="U89" s="3">
        <f t="shared" si="9"/>
        <v>5624131.304685208</v>
      </c>
      <c r="V89" s="3">
        <f t="shared" si="9"/>
        <v>5736613.9307789123</v>
      </c>
      <c r="W89" s="3">
        <f t="shared" si="9"/>
        <v>5851346.2093944903</v>
      </c>
    </row>
    <row r="90" spans="1:23">
      <c r="A90" t="s">
        <v>34</v>
      </c>
      <c r="B90" t="s">
        <v>183</v>
      </c>
      <c r="C90">
        <v>0</v>
      </c>
      <c r="D90" s="3">
        <f>C57*1000</f>
        <v>3336450</v>
      </c>
      <c r="E90" s="3">
        <f>D90*(1+$C$14)</f>
        <v>3336450</v>
      </c>
      <c r="F90" s="3">
        <f t="shared" ref="F90:W90" si="10">E90*(1+$C$14)</f>
        <v>3336450</v>
      </c>
      <c r="G90" s="3">
        <f t="shared" si="10"/>
        <v>3336450</v>
      </c>
      <c r="H90" s="3">
        <f t="shared" si="10"/>
        <v>3336450</v>
      </c>
      <c r="I90" s="3">
        <f t="shared" si="10"/>
        <v>3336450</v>
      </c>
      <c r="J90" s="3">
        <f t="shared" si="10"/>
        <v>3336450</v>
      </c>
      <c r="K90" s="3">
        <f t="shared" si="10"/>
        <v>3336450</v>
      </c>
      <c r="L90" s="3">
        <f t="shared" si="10"/>
        <v>3336450</v>
      </c>
      <c r="M90" s="3">
        <f t="shared" si="10"/>
        <v>3336450</v>
      </c>
      <c r="N90" s="3">
        <f t="shared" si="10"/>
        <v>3336450</v>
      </c>
      <c r="O90" s="3">
        <f t="shared" si="10"/>
        <v>3336450</v>
      </c>
      <c r="P90" s="3">
        <f t="shared" si="10"/>
        <v>3336450</v>
      </c>
      <c r="Q90" s="3">
        <f t="shared" si="10"/>
        <v>3336450</v>
      </c>
      <c r="R90" s="3">
        <f t="shared" si="10"/>
        <v>3336450</v>
      </c>
      <c r="S90" s="3">
        <f t="shared" si="10"/>
        <v>3336450</v>
      </c>
      <c r="T90" s="3">
        <f t="shared" si="10"/>
        <v>3336450</v>
      </c>
      <c r="U90" s="3">
        <f t="shared" si="10"/>
        <v>3336450</v>
      </c>
      <c r="V90" s="3">
        <f t="shared" si="10"/>
        <v>3336450</v>
      </c>
      <c r="W90" s="3">
        <f t="shared" si="10"/>
        <v>3336450</v>
      </c>
    </row>
    <row r="91" spans="1:23">
      <c r="A91" t="s">
        <v>66</v>
      </c>
      <c r="B91" t="s">
        <v>184</v>
      </c>
      <c r="C91">
        <v>0</v>
      </c>
      <c r="D91" s="3">
        <f>D85-D90-D83</f>
        <v>2095213.0043918297</v>
      </c>
      <c r="E91" s="3">
        <f t="shared" ref="E91:W91" si="11">E85-E90-E83</f>
        <v>2198487.0884796665</v>
      </c>
      <c r="F91" s="3">
        <f t="shared" si="11"/>
        <v>2310370.8615492606</v>
      </c>
      <c r="G91" s="3">
        <f t="shared" si="11"/>
        <v>2424473.378380246</v>
      </c>
      <c r="H91" s="3">
        <f t="shared" si="11"/>
        <v>2540839.0138478507</v>
      </c>
      <c r="I91" s="3">
        <f t="shared" si="11"/>
        <v>2659513.0303248069</v>
      </c>
      <c r="J91" s="3">
        <f t="shared" si="11"/>
        <v>2780541.5954313031</v>
      </c>
      <c r="K91" s="3">
        <f t="shared" si="11"/>
        <v>2903971.8001399287</v>
      </c>
      <c r="L91" s="3">
        <f t="shared" si="11"/>
        <v>3029851.6772427275</v>
      </c>
      <c r="M91" s="3">
        <f t="shared" si="11"/>
        <v>3158230.220187583</v>
      </c>
      <c r="N91" s="3">
        <f t="shared" si="11"/>
        <v>3286162.0022913339</v>
      </c>
      <c r="O91" s="3">
        <f t="shared" si="11"/>
        <v>3416686.1963371607</v>
      </c>
      <c r="P91" s="3">
        <f t="shared" si="11"/>
        <v>3552857.394563904</v>
      </c>
      <c r="Q91" s="3">
        <f t="shared" si="11"/>
        <v>3691733.2290551825</v>
      </c>
      <c r="R91" s="3">
        <f t="shared" si="11"/>
        <v>3833367.7925362852</v>
      </c>
      <c r="S91" s="3">
        <f t="shared" si="11"/>
        <v>3977816.2595870113</v>
      </c>
      <c r="T91" s="3">
        <f t="shared" si="11"/>
        <v>4125134.9082787521</v>
      </c>
      <c r="U91" s="3">
        <f t="shared" si="11"/>
        <v>4275381.1422443269</v>
      </c>
      <c r="V91" s="3">
        <f t="shared" si="11"/>
        <v>4428613.5131892152</v>
      </c>
      <c r="W91" s="3">
        <f t="shared" si="11"/>
        <v>4584891.7438529991</v>
      </c>
    </row>
    <row r="92" spans="1:23">
      <c r="A92" t="s">
        <v>68</v>
      </c>
      <c r="B92" t="s">
        <v>184</v>
      </c>
      <c r="C92">
        <v>0</v>
      </c>
      <c r="D92">
        <f>D85-D90-D78-D83</f>
        <v>-3000846.9956081705</v>
      </c>
      <c r="E92" s="3">
        <f t="shared" ref="E92:W92" si="12">E85-E90-E78-E83</f>
        <v>-2557835.5781870005</v>
      </c>
      <c r="F92" s="3">
        <f t="shared" si="12"/>
        <v>-2106214.4717840725</v>
      </c>
      <c r="G92" s="3">
        <f t="shared" si="12"/>
        <v>-1652374.6216197535</v>
      </c>
      <c r="H92" s="3">
        <f t="shared" si="12"/>
        <v>-1196271.6528188153</v>
      </c>
      <c r="I92" s="3">
        <f t="shared" si="12"/>
        <v>-737860.30300852505</v>
      </c>
      <c r="J92" s="3">
        <f t="shared" si="12"/>
        <v>-277094.40456869581</v>
      </c>
      <c r="K92" s="3">
        <f t="shared" si="12"/>
        <v>186073.13347326283</v>
      </c>
      <c r="L92" s="3">
        <f t="shared" si="12"/>
        <v>651690.34390939516</v>
      </c>
      <c r="M92" s="3">
        <f t="shared" si="12"/>
        <v>1119806.2201875835</v>
      </c>
      <c r="N92" s="3">
        <f t="shared" si="12"/>
        <v>1587475.335624668</v>
      </c>
      <c r="O92" s="3">
        <f t="shared" si="12"/>
        <v>2057736.8630038276</v>
      </c>
      <c r="P92" s="3">
        <f t="shared" si="12"/>
        <v>2533645.394563905</v>
      </c>
      <c r="Q92" s="3">
        <f t="shared" si="12"/>
        <v>3012258.5623885165</v>
      </c>
      <c r="R92" s="3">
        <f t="shared" si="12"/>
        <v>3493630.4592029527</v>
      </c>
      <c r="S92" s="3">
        <f t="shared" si="12"/>
        <v>3977816.2595870122</v>
      </c>
      <c r="T92" s="3">
        <f t="shared" si="12"/>
        <v>4125134.9082787521</v>
      </c>
      <c r="U92" s="3">
        <f t="shared" si="12"/>
        <v>4275381.1422443269</v>
      </c>
      <c r="V92" s="3">
        <f t="shared" si="12"/>
        <v>4428613.5131892152</v>
      </c>
      <c r="W92" s="3">
        <f t="shared" si="12"/>
        <v>4584891.7438529991</v>
      </c>
    </row>
    <row r="93" spans="1:23">
      <c r="A93" t="s">
        <v>69</v>
      </c>
      <c r="B93" t="s">
        <v>184</v>
      </c>
      <c r="C93">
        <v>0</v>
      </c>
      <c r="D93">
        <f>IF(D92&gt;0,D92*$C$15,0)</f>
        <v>0</v>
      </c>
      <c r="E93" s="3">
        <f t="shared" ref="E93:W93" si="13">IF(E92&gt;0,E92*$C$15,0)</f>
        <v>0</v>
      </c>
      <c r="F93" s="3">
        <f t="shared" si="13"/>
        <v>0</v>
      </c>
      <c r="G93" s="3">
        <f t="shared" si="13"/>
        <v>0</v>
      </c>
      <c r="H93" s="3">
        <f t="shared" si="13"/>
        <v>0</v>
      </c>
      <c r="I93" s="3">
        <f t="shared" si="13"/>
        <v>0</v>
      </c>
      <c r="J93" s="3">
        <f t="shared" si="13"/>
        <v>0</v>
      </c>
      <c r="K93" s="3">
        <f t="shared" si="13"/>
        <v>35353.895359919938</v>
      </c>
      <c r="L93" s="3">
        <f t="shared" si="13"/>
        <v>123821.16534278508</v>
      </c>
      <c r="M93" s="3">
        <f t="shared" si="13"/>
        <v>212763.18183564086</v>
      </c>
      <c r="N93" s="3">
        <f t="shared" si="13"/>
        <v>301620.31376868696</v>
      </c>
      <c r="O93" s="3">
        <f t="shared" si="13"/>
        <v>390970.00397072727</v>
      </c>
      <c r="P93" s="3">
        <f t="shared" si="13"/>
        <v>481392.62496714195</v>
      </c>
      <c r="Q93" s="3">
        <f t="shared" si="13"/>
        <v>572329.12685381819</v>
      </c>
      <c r="R93" s="3">
        <f t="shared" si="13"/>
        <v>663789.78724856104</v>
      </c>
      <c r="S93" s="3">
        <f t="shared" si="13"/>
        <v>755785.08932153229</v>
      </c>
      <c r="T93" s="3">
        <f t="shared" si="13"/>
        <v>783775.6325729629</v>
      </c>
      <c r="U93" s="3">
        <f t="shared" si="13"/>
        <v>812322.4170264221</v>
      </c>
      <c r="V93" s="3">
        <f t="shared" si="13"/>
        <v>841436.56750595092</v>
      </c>
      <c r="W93" s="3">
        <f t="shared" si="13"/>
        <v>871129.4313320698</v>
      </c>
    </row>
    <row r="94" spans="1:23">
      <c r="A94" t="s">
        <v>70</v>
      </c>
      <c r="C94" s="3">
        <f>C85-C90-C82-C79-C93</f>
        <v>-103566200</v>
      </c>
      <c r="D94" s="3">
        <f>D85-D90-D82-D79-D93+D87+D89</f>
        <v>2286803.8119184091</v>
      </c>
      <c r="E94" s="3">
        <f t="shared" ref="E94:L94" si="14">E85-E90-E82-E79-E93+E87+E89</f>
        <v>2896228.164823446</v>
      </c>
      <c r="F94" s="3">
        <f t="shared" si="14"/>
        <v>3510240.3162199156</v>
      </c>
      <c r="G94" s="3">
        <f t="shared" si="14"/>
        <v>4128923.9626586484</v>
      </c>
      <c r="H94" s="3">
        <f t="shared" si="14"/>
        <v>4752364.3940272992</v>
      </c>
      <c r="I94" s="3">
        <f t="shared" si="14"/>
        <v>5380648.5246111425</v>
      </c>
      <c r="J94" s="3">
        <f t="shared" si="14"/>
        <v>6013864.9247670304</v>
      </c>
      <c r="K94" s="3">
        <f t="shared" si="14"/>
        <v>6616749.9578627525</v>
      </c>
      <c r="L94" s="3">
        <f t="shared" si="14"/>
        <v>7171636.1246709106</v>
      </c>
      <c r="M94" s="3">
        <f t="shared" ref="M94" si="15">M85-M90-M82-M79-M93+M87+M89</f>
        <v>-27413944.124119706</v>
      </c>
      <c r="N94" s="3">
        <f t="shared" ref="N94" si="16">N85-N90-N82-N79-N93+N87+N89</f>
        <v>8296264.103703619</v>
      </c>
      <c r="O94" s="3">
        <f t="shared" ref="O94" si="17">O85-O90-O82-O79-O93+O87+O89</f>
        <v>8866180.9763974287</v>
      </c>
      <c r="P94" s="3">
        <f t="shared" ref="P94" si="18">P85-P90-P82-P79-P93+P87+P89</f>
        <v>9440525.2416335829</v>
      </c>
      <c r="Q94" s="3">
        <f t="shared" ref="Q94" si="19">Q85-Q90-Q82-Q79-Q93+Q87+Q89</f>
        <v>10019957.053170376</v>
      </c>
      <c r="R94" s="3">
        <f t="shared" ref="R94" si="20">R85-R90-R82-R79-R93+R87+R89</f>
        <v>10604569.170295153</v>
      </c>
      <c r="S94" s="3">
        <f t="shared" ref="S94" si="21">S85-S90-S82-S79-S93+S87+S89</f>
        <v>17989202.784231283</v>
      </c>
      <c r="T94" s="3">
        <f t="shared" ref="T94" si="22">T85-T90-T82-T79-T93+T87+T89</f>
        <v>18309273.645877719</v>
      </c>
      <c r="U94" s="3">
        <f t="shared" ref="U94" si="23">U85-U90-U82-U79-U93+U87+U89</f>
        <v>18634813.820894353</v>
      </c>
      <c r="V94" s="3">
        <f t="shared" ref="V94" si="24">V85-V90-V82-V79-V93+V87+V89</f>
        <v>18965923.338813327</v>
      </c>
      <c r="W94" s="3">
        <f t="shared" ref="W94" si="25">W85-W90-W82-W79-W93+W87+W89</f>
        <v>19302704.136190079</v>
      </c>
    </row>
    <row r="95" spans="1:23">
      <c r="A95" t="s">
        <v>71</v>
      </c>
      <c r="C95" s="3">
        <f>C94/POWER(1+$C$12,C72)</f>
        <v>-103566200</v>
      </c>
      <c r="D95" s="3">
        <f>D94/POWER(1+$C$12,D72)</f>
        <v>2177908.3923032465</v>
      </c>
      <c r="E95" s="3">
        <f t="shared" ref="E95:W95" si="26">E94/POWER(1+$C$12,E72)</f>
        <v>2626964.3218353251</v>
      </c>
      <c r="F95" s="3">
        <f t="shared" si="26"/>
        <v>3032277.5650317809</v>
      </c>
      <c r="G95" s="3">
        <f t="shared" si="26"/>
        <v>3396875.9623067742</v>
      </c>
      <c r="H95" s="3">
        <f t="shared" si="26"/>
        <v>3723601.8553134105</v>
      </c>
      <c r="I95" s="3">
        <f t="shared" si="26"/>
        <v>4015122.7729549892</v>
      </c>
      <c r="J95" s="3">
        <f t="shared" si="26"/>
        <v>4273941.5239563156</v>
      </c>
      <c r="K95" s="3">
        <f t="shared" si="26"/>
        <v>4478476.8201831682</v>
      </c>
      <c r="L95" s="3">
        <f t="shared" si="26"/>
        <v>4622900.5898325192</v>
      </c>
      <c r="M95" s="3">
        <f t="shared" si="26"/>
        <v>-16829783.62962291</v>
      </c>
      <c r="N95" s="3">
        <f t="shared" si="26"/>
        <v>4850653.7982267616</v>
      </c>
      <c r="O95" s="3">
        <f t="shared" si="26"/>
        <v>4937021.3239921378</v>
      </c>
      <c r="P95" s="3">
        <f t="shared" si="26"/>
        <v>5006512.0969441188</v>
      </c>
      <c r="Q95" s="3">
        <f t="shared" si="26"/>
        <v>5060759.1979477732</v>
      </c>
      <c r="R95" s="3">
        <f t="shared" si="26"/>
        <v>5100979.0888003418</v>
      </c>
      <c r="S95" s="3">
        <f t="shared" si="26"/>
        <v>8241061.0668961275</v>
      </c>
      <c r="T95" s="3">
        <f t="shared" si="26"/>
        <v>7988275.4442572137</v>
      </c>
      <c r="U95" s="3">
        <f t="shared" si="26"/>
        <v>7743150.042191647</v>
      </c>
      <c r="V95" s="3">
        <f t="shared" si="26"/>
        <v>7505459.8913430441</v>
      </c>
      <c r="W95" s="3">
        <f t="shared" si="26"/>
        <v>7274986.1799392086</v>
      </c>
    </row>
    <row r="96" spans="1:23">
      <c r="A96" t="s">
        <v>72</v>
      </c>
      <c r="C96" s="3">
        <f>C95</f>
        <v>-103566200</v>
      </c>
      <c r="D96" s="3">
        <f>C96+D95</f>
        <v>-101388291.60769676</v>
      </c>
      <c r="E96" s="3">
        <f t="shared" ref="E96:W96" si="27">D96+E95</f>
        <v>-98761327.285861433</v>
      </c>
      <c r="F96" s="3">
        <f t="shared" si="27"/>
        <v>-95729049.720829651</v>
      </c>
      <c r="G96" s="3">
        <f t="shared" si="27"/>
        <v>-92332173.758522883</v>
      </c>
      <c r="H96" s="3">
        <f t="shared" si="27"/>
        <v>-88608571.903209478</v>
      </c>
      <c r="I96" s="3">
        <f t="shared" si="27"/>
        <v>-84593449.130254492</v>
      </c>
      <c r="J96" s="3">
        <f t="shared" si="27"/>
        <v>-80319507.606298178</v>
      </c>
      <c r="K96" s="3">
        <f t="shared" si="27"/>
        <v>-75841030.786115006</v>
      </c>
      <c r="L96" s="3">
        <f t="shared" si="27"/>
        <v>-71218130.196282491</v>
      </c>
      <c r="M96" s="3">
        <f t="shared" si="27"/>
        <v>-88047913.825905398</v>
      </c>
      <c r="N96" s="3">
        <f t="shared" si="27"/>
        <v>-83197260.027678639</v>
      </c>
      <c r="O96" s="3">
        <f t="shared" si="27"/>
        <v>-78260238.703686506</v>
      </c>
      <c r="P96" s="3">
        <f t="shared" si="27"/>
        <v>-73253726.606742382</v>
      </c>
      <c r="Q96" s="3">
        <f t="shared" si="27"/>
        <v>-68192967.408794612</v>
      </c>
      <c r="R96" s="3">
        <f t="shared" si="27"/>
        <v>-63091988.319994271</v>
      </c>
      <c r="S96" s="3">
        <f t="shared" si="27"/>
        <v>-54850927.253098145</v>
      </c>
      <c r="T96" s="3">
        <f t="shared" si="27"/>
        <v>-46862651.80884093</v>
      </c>
      <c r="U96" s="3">
        <f t="shared" si="27"/>
        <v>-39119501.766649283</v>
      </c>
      <c r="V96" s="3">
        <f t="shared" si="27"/>
        <v>-31614041.875306241</v>
      </c>
      <c r="W96" s="3">
        <f t="shared" si="27"/>
        <v>-24339055.695367031</v>
      </c>
    </row>
    <row r="98" spans="1:23">
      <c r="A98" s="2" t="s">
        <v>73</v>
      </c>
    </row>
    <row r="99" spans="1:23">
      <c r="A99" t="s">
        <v>48</v>
      </c>
      <c r="B99" s="25">
        <v>652.17592912966802</v>
      </c>
      <c r="C99" s="22" t="s">
        <v>49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>
      <c r="A100" t="s">
        <v>75</v>
      </c>
      <c r="B100">
        <v>0.02</v>
      </c>
    </row>
    <row r="102" spans="1:23">
      <c r="A102" s="2" t="s">
        <v>76</v>
      </c>
      <c r="B102" s="24">
        <f>NPV(C12,D94:W94)+C94</f>
        <v>-24339055.695367038</v>
      </c>
    </row>
    <row r="103" spans="1:23">
      <c r="A103" s="2" t="s">
        <v>77</v>
      </c>
      <c r="B103" s="23">
        <f>IRR(C94:W94)</f>
        <v>2.9191264514180131E-2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A4" sqref="A4:B15"/>
    </sheetView>
  </sheetViews>
  <sheetFormatPr defaultRowHeight="14.4"/>
  <cols>
    <col min="1" max="1" width="28.33203125" customWidth="1"/>
    <col min="2" max="2" width="10.109375" customWidth="1"/>
  </cols>
  <sheetData>
    <row r="1" spans="1:2">
      <c r="A1" s="2" t="s">
        <v>153</v>
      </c>
    </row>
    <row r="4" spans="1:2">
      <c r="A4" s="45" t="s">
        <v>152</v>
      </c>
      <c r="B4" s="46" t="s">
        <v>154</v>
      </c>
    </row>
    <row r="5" spans="1:2">
      <c r="A5" s="7" t="s">
        <v>116</v>
      </c>
      <c r="B5" s="48">
        <f>'společná investice'!B2*('společná investice'!C2/100)</f>
        <v>1625</v>
      </c>
    </row>
    <row r="6" spans="1:2">
      <c r="A6" s="7" t="s">
        <v>117</v>
      </c>
      <c r="B6" s="48">
        <f>'společná investice'!B3*('společná investice'!C3/100)</f>
        <v>625</v>
      </c>
    </row>
    <row r="7" spans="1:2">
      <c r="A7" s="7" t="s">
        <v>118</v>
      </c>
      <c r="B7" s="48">
        <f>'společná investice'!B4*('společná investice'!C4/100)</f>
        <v>3</v>
      </c>
    </row>
    <row r="8" spans="1:2">
      <c r="A8" s="7" t="s">
        <v>119</v>
      </c>
      <c r="B8" s="41">
        <f>'společná investice'!B5*('společná investice'!C5/100)</f>
        <v>0.1</v>
      </c>
    </row>
    <row r="9" spans="1:2">
      <c r="A9" s="7" t="s">
        <v>120</v>
      </c>
      <c r="B9" s="48">
        <f>'společná investice'!B6*('společná investice'!C6/100)</f>
        <v>1</v>
      </c>
    </row>
    <row r="10" spans="1:2">
      <c r="A10" s="7" t="s">
        <v>121</v>
      </c>
      <c r="B10" s="48">
        <f>'společná investice'!B7*('společná investice'!C7/100)</f>
        <v>6</v>
      </c>
    </row>
    <row r="11" spans="1:2">
      <c r="A11" s="7" t="s">
        <v>122</v>
      </c>
      <c r="B11" s="41">
        <f>'společná investice'!B8*('společná investice'!C8/100)</f>
        <v>1.5</v>
      </c>
    </row>
    <row r="12" spans="1:2">
      <c r="A12" s="7" t="s">
        <v>123</v>
      </c>
      <c r="B12" s="48">
        <f>'společná investice'!B9*('společná investice'!C9/100)</f>
        <v>36</v>
      </c>
    </row>
    <row r="13" spans="1:2">
      <c r="A13" s="7" t="s">
        <v>124</v>
      </c>
      <c r="B13" s="41">
        <f>'společná investice'!B10*('společná investice'!C10/100)</f>
        <v>0.61</v>
      </c>
    </row>
    <row r="14" spans="1:2">
      <c r="A14" s="7" t="s">
        <v>148</v>
      </c>
      <c r="B14" s="49">
        <f>investice!C12*0.06</f>
        <v>1038.24</v>
      </c>
    </row>
    <row r="15" spans="1:2">
      <c r="A15" s="8" t="s">
        <v>155</v>
      </c>
      <c r="B15" s="50">
        <f>SUM(B5:B14)</f>
        <v>3336.45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E9" sqref="E9"/>
    </sheetView>
  </sheetViews>
  <sheetFormatPr defaultRowHeight="14.4"/>
  <cols>
    <col min="1" max="1" width="9.44140625" customWidth="1"/>
  </cols>
  <sheetData>
    <row r="1" spans="1:8">
      <c r="B1" s="61" t="s">
        <v>161</v>
      </c>
      <c r="C1" s="61"/>
      <c r="D1" s="61"/>
    </row>
    <row r="2" spans="1:8">
      <c r="A2" s="7" t="s">
        <v>162</v>
      </c>
      <c r="B2" s="4">
        <v>2007</v>
      </c>
      <c r="C2" s="4">
        <v>2008</v>
      </c>
      <c r="D2" s="4">
        <v>2009</v>
      </c>
      <c r="E2" t="s">
        <v>163</v>
      </c>
    </row>
    <row r="3" spans="1:8">
      <c r="A3" s="7" t="s">
        <v>164</v>
      </c>
      <c r="B3" s="4">
        <v>0.28999999999999998</v>
      </c>
      <c r="C3" s="4">
        <v>0.26</v>
      </c>
      <c r="D3" s="4">
        <v>0.25</v>
      </c>
      <c r="E3">
        <f>AVERAGE(B3:D3)</f>
        <v>0.26666666666666666</v>
      </c>
      <c r="G3">
        <v>8760</v>
      </c>
      <c r="H3">
        <f>G3*E3</f>
        <v>2336</v>
      </c>
    </row>
    <row r="4" spans="1:8">
      <c r="A4" s="7" t="s">
        <v>165</v>
      </c>
      <c r="B4" s="4" t="s">
        <v>166</v>
      </c>
      <c r="C4" s="4">
        <v>0.17</v>
      </c>
      <c r="D4" s="4">
        <v>0.14000000000000001</v>
      </c>
      <c r="E4">
        <f>AVERAGE(C4:D4)</f>
        <v>0.15500000000000003</v>
      </c>
    </row>
    <row r="7" spans="1:8">
      <c r="A7" s="51" t="s">
        <v>167</v>
      </c>
    </row>
    <row r="8" spans="1:8">
      <c r="A8" s="44" t="s">
        <v>168</v>
      </c>
      <c r="B8">
        <v>8760</v>
      </c>
      <c r="C8" t="s">
        <v>169</v>
      </c>
    </row>
    <row r="9" spans="1:8">
      <c r="A9" s="44" t="s">
        <v>170</v>
      </c>
      <c r="B9">
        <v>0.27</v>
      </c>
    </row>
    <row r="10" spans="1:8">
      <c r="A10" s="44" t="s">
        <v>171</v>
      </c>
      <c r="B10" s="17">
        <f>'[1]potřeba tepla'!F16</f>
        <v>2316.2195333333334</v>
      </c>
      <c r="C10" t="s">
        <v>172</v>
      </c>
    </row>
    <row r="11" spans="1:8">
      <c r="A11" s="44" t="s">
        <v>173</v>
      </c>
      <c r="B11">
        <v>3000</v>
      </c>
      <c r="C11" t="s">
        <v>88</v>
      </c>
    </row>
    <row r="12" spans="1:8">
      <c r="A12" s="44" t="s">
        <v>174</v>
      </c>
      <c r="B12" s="52">
        <f>(B10+B11)/(B8*B9)</f>
        <v>2.2476828738936803</v>
      </c>
      <c r="C12" t="s">
        <v>175</v>
      </c>
    </row>
    <row r="14" spans="1:8">
      <c r="A14" s="51" t="s">
        <v>200</v>
      </c>
    </row>
    <row r="15" spans="1:8">
      <c r="A15" s="44" t="s">
        <v>174</v>
      </c>
      <c r="B15">
        <v>2.35</v>
      </c>
      <c r="C15" t="s">
        <v>175</v>
      </c>
    </row>
    <row r="16" spans="1:8">
      <c r="A16" s="44" t="s">
        <v>168</v>
      </c>
      <c r="B16">
        <v>8760</v>
      </c>
      <c r="C16" t="s">
        <v>169</v>
      </c>
    </row>
    <row r="17" spans="1:4">
      <c r="A17" s="44" t="s">
        <v>170</v>
      </c>
      <c r="B17">
        <v>0.27</v>
      </c>
    </row>
    <row r="18" spans="1:4">
      <c r="A18" s="44" t="s">
        <v>150</v>
      </c>
      <c r="B18">
        <f>B15*B16*B17</f>
        <v>5558.22</v>
      </c>
      <c r="C18" t="s">
        <v>88</v>
      </c>
      <c r="D18" t="s">
        <v>151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N20"/>
  <sheetViews>
    <sheetView workbookViewId="0">
      <selection activeCell="E18" sqref="E18"/>
    </sheetView>
  </sheetViews>
  <sheetFormatPr defaultRowHeight="14.4"/>
  <cols>
    <col min="1" max="1" width="24.5546875" customWidth="1"/>
    <col min="3" max="3" width="10.33203125" bestFit="1" customWidth="1"/>
  </cols>
  <sheetData>
    <row r="2" spans="1:14">
      <c r="A2" s="2" t="s">
        <v>185</v>
      </c>
    </row>
    <row r="3" spans="1:14">
      <c r="B3" t="s">
        <v>160</v>
      </c>
      <c r="C3">
        <f>VTE!B18</f>
        <v>5558.22</v>
      </c>
      <c r="D3" t="s">
        <v>88</v>
      </c>
    </row>
    <row r="4" spans="1:14">
      <c r="A4" t="s">
        <v>186</v>
      </c>
      <c r="C4">
        <v>0.75</v>
      </c>
      <c r="K4" s="30"/>
      <c r="L4" s="30"/>
      <c r="M4" s="30"/>
      <c r="N4" s="30"/>
    </row>
    <row r="5" spans="1:14">
      <c r="A5" t="s">
        <v>187</v>
      </c>
      <c r="B5" t="s">
        <v>188</v>
      </c>
      <c r="C5">
        <f>výpočty!E5</f>
        <v>33.333333333333336</v>
      </c>
      <c r="D5" t="s">
        <v>189</v>
      </c>
      <c r="E5">
        <f>C5*3.6</f>
        <v>120.00000000000001</v>
      </c>
      <c r="F5" t="s">
        <v>18</v>
      </c>
      <c r="K5" s="21"/>
      <c r="L5" s="21"/>
      <c r="M5" s="21"/>
      <c r="N5" s="21"/>
    </row>
    <row r="6" spans="1:14">
      <c r="A6" s="52" t="s">
        <v>191</v>
      </c>
      <c r="B6" s="52" t="s">
        <v>190</v>
      </c>
      <c r="C6" s="52">
        <f>(C3*C4)/C5</f>
        <v>125.05994999999999</v>
      </c>
      <c r="D6" s="52" t="s">
        <v>199</v>
      </c>
    </row>
    <row r="9" spans="1:14">
      <c r="A9" s="2" t="s">
        <v>192</v>
      </c>
    </row>
    <row r="10" spans="1:14">
      <c r="A10" t="s">
        <v>194</v>
      </c>
      <c r="C10">
        <v>0.92</v>
      </c>
    </row>
    <row r="11" spans="1:14">
      <c r="A11" t="s">
        <v>81</v>
      </c>
      <c r="C11">
        <v>0.65700000000000003</v>
      </c>
    </row>
    <row r="12" spans="1:14">
      <c r="A12" t="s">
        <v>82</v>
      </c>
      <c r="C12">
        <v>0.26300000000000001</v>
      </c>
    </row>
    <row r="13" spans="1:14">
      <c r="A13" t="s">
        <v>195</v>
      </c>
      <c r="B13" t="s">
        <v>196</v>
      </c>
      <c r="C13" s="29">
        <f>výpočty!C10</f>
        <v>8338.3903200000004</v>
      </c>
      <c r="D13" t="s">
        <v>83</v>
      </c>
    </row>
    <row r="14" spans="1:14">
      <c r="A14" t="s">
        <v>193</v>
      </c>
      <c r="B14" t="s">
        <v>84</v>
      </c>
      <c r="C14">
        <f>(C10*C13)/C11</f>
        <v>11676.284770776256</v>
      </c>
      <c r="D14" t="s">
        <v>83</v>
      </c>
    </row>
    <row r="15" spans="1:14">
      <c r="A15" s="52" t="s">
        <v>197</v>
      </c>
      <c r="B15" s="52" t="s">
        <v>198</v>
      </c>
      <c r="C15" s="54">
        <f>(C14)/(E5*C10)</f>
        <v>105.76344901065447</v>
      </c>
      <c r="D15" s="52" t="s">
        <v>199</v>
      </c>
    </row>
    <row r="17" spans="1:6">
      <c r="A17" t="s">
        <v>201</v>
      </c>
      <c r="B17" t="s">
        <v>202</v>
      </c>
      <c r="C17" s="29">
        <f>C13</f>
        <v>8338.3903200000004</v>
      </c>
      <c r="D17" t="s">
        <v>83</v>
      </c>
    </row>
    <row r="18" spans="1:6">
      <c r="A18" t="s">
        <v>203</v>
      </c>
      <c r="B18" t="s">
        <v>204</v>
      </c>
      <c r="C18" s="29">
        <f>C14-C13</f>
        <v>3337.8944507762553</v>
      </c>
      <c r="D18" t="s">
        <v>83</v>
      </c>
      <c r="E18" s="29">
        <f>C18/3.6</f>
        <v>927.19290299340423</v>
      </c>
      <c r="F18" t="s">
        <v>209</v>
      </c>
    </row>
    <row r="19" spans="1:6">
      <c r="A19" t="s">
        <v>206</v>
      </c>
      <c r="B19" t="s">
        <v>207</v>
      </c>
      <c r="C19">
        <v>4331.9399999999996</v>
      </c>
      <c r="D19" t="s">
        <v>179</v>
      </c>
    </row>
    <row r="20" spans="1:6">
      <c r="A20" t="s">
        <v>208</v>
      </c>
      <c r="C20" s="30">
        <f>E18*C19</f>
        <v>4016544.0241932473</v>
      </c>
      <c r="D20" t="s">
        <v>27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A23" sqref="A23"/>
    </sheetView>
  </sheetViews>
  <sheetFormatPr defaultRowHeight="14.4"/>
  <cols>
    <col min="2" max="2" width="27.109375" customWidth="1"/>
    <col min="3" max="3" width="27.77734375" customWidth="1"/>
    <col min="4" max="4" width="15.5546875" customWidth="1"/>
  </cols>
  <sheetData>
    <row r="1" spans="1:7">
      <c r="A1" s="2" t="s">
        <v>214</v>
      </c>
    </row>
    <row r="2" spans="1:7">
      <c r="B2" t="s">
        <v>215</v>
      </c>
      <c r="C2" t="s">
        <v>216</v>
      </c>
      <c r="D2" t="s">
        <v>78</v>
      </c>
      <c r="E2" t="s">
        <v>218</v>
      </c>
    </row>
    <row r="3" spans="1:7">
      <c r="B3" s="23">
        <v>0.4</v>
      </c>
      <c r="C3" s="3">
        <v>24225.599999999999</v>
      </c>
      <c r="D3" s="3">
        <v>1116.2344175683008</v>
      </c>
      <c r="E3" s="60">
        <f t="shared" ref="E3:E6" si="0">D3/$D$7</f>
        <v>1.2657751344754142</v>
      </c>
      <c r="F3" s="58"/>
    </row>
    <row r="4" spans="1:7">
      <c r="B4" s="23">
        <v>0.3</v>
      </c>
      <c r="C4" s="3">
        <v>22495.200000000001</v>
      </c>
      <c r="D4" s="3">
        <v>1057.3313789581375</v>
      </c>
      <c r="E4" s="60">
        <f t="shared" si="0"/>
        <v>1.1989809195288679</v>
      </c>
      <c r="F4" s="58"/>
    </row>
    <row r="5" spans="1:7">
      <c r="B5" s="23">
        <v>0.2</v>
      </c>
      <c r="C5" s="3">
        <v>20764.8</v>
      </c>
      <c r="D5" s="3">
        <v>998.48582142373346</v>
      </c>
      <c r="E5" s="60">
        <f t="shared" si="0"/>
        <v>1.132251886335593</v>
      </c>
      <c r="F5" s="58"/>
    </row>
    <row r="6" spans="1:7">
      <c r="B6" s="23">
        <v>0.1</v>
      </c>
      <c r="C6" s="3">
        <v>19034.400000000001</v>
      </c>
      <c r="D6" s="3">
        <v>940.08068205141353</v>
      </c>
      <c r="E6" s="60">
        <f t="shared" si="0"/>
        <v>1.066022273648946</v>
      </c>
      <c r="F6" s="58"/>
    </row>
    <row r="7" spans="1:7">
      <c r="B7" s="26">
        <v>0</v>
      </c>
      <c r="C7" s="20">
        <v>17304</v>
      </c>
      <c r="D7" s="20">
        <v>881.85838634830759</v>
      </c>
      <c r="E7" s="60">
        <f>D7/$D$7</f>
        <v>1</v>
      </c>
      <c r="F7" s="58"/>
      <c r="G7" s="3"/>
    </row>
    <row r="8" spans="1:7">
      <c r="B8" s="23">
        <v>-0.1</v>
      </c>
      <c r="C8" s="3">
        <v>15573.6</v>
      </c>
      <c r="D8" s="3">
        <v>823.9373041688691</v>
      </c>
      <c r="E8" s="60">
        <f t="shared" ref="E8:E11" si="1">D8/$D$7</f>
        <v>0.93431929312450701</v>
      </c>
      <c r="F8" s="58"/>
    </row>
    <row r="9" spans="1:7">
      <c r="B9" s="23">
        <v>-0.2</v>
      </c>
      <c r="C9" s="3">
        <v>13843.2</v>
      </c>
      <c r="D9" s="3">
        <v>766.39932927442851</v>
      </c>
      <c r="E9" s="60">
        <f t="shared" si="1"/>
        <v>0.86907301800237546</v>
      </c>
      <c r="F9" s="58"/>
    </row>
    <row r="10" spans="1:7">
      <c r="B10" s="23">
        <v>-0.3</v>
      </c>
      <c r="C10" s="3">
        <v>12112.8</v>
      </c>
      <c r="D10" s="3">
        <v>709.1273705322335</v>
      </c>
      <c r="E10" s="60">
        <f t="shared" si="1"/>
        <v>0.80412839692851712</v>
      </c>
      <c r="F10" s="58"/>
    </row>
    <row r="11" spans="1:7">
      <c r="B11" s="23">
        <v>-0.4</v>
      </c>
      <c r="C11" s="3">
        <v>10382.4</v>
      </c>
      <c r="D11" s="3">
        <v>652.17592912966802</v>
      </c>
      <c r="E11" s="60">
        <f t="shared" si="1"/>
        <v>0.73954723255540722</v>
      </c>
      <c r="F11" s="5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investice</vt:lpstr>
      <vt:lpstr>společná investice</vt:lpstr>
      <vt:lpstr>min. cena tepla</vt:lpstr>
      <vt:lpstr>výpočty</vt:lpstr>
      <vt:lpstr>Nps</vt:lpstr>
      <vt:lpstr>VTE</vt:lpstr>
      <vt:lpstr>vodík</vt:lpstr>
      <vt:lpstr>citlivostní analýza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2015-01-05T11:30:22Z</cp:lastPrinted>
  <dcterms:created xsi:type="dcterms:W3CDTF">2014-12-30T22:25:26Z</dcterms:created>
  <dcterms:modified xsi:type="dcterms:W3CDTF">2015-01-05T11:30:35Z</dcterms:modified>
</cp:coreProperties>
</file>