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n\Desktop\škola\Bakalářka\"/>
    </mc:Choice>
  </mc:AlternateContent>
  <xr:revisionPtr revIDLastSave="0" documentId="13_ncr:1_{B45DE86B-019A-402F-8F38-29CA9CAEBACF}" xr6:coauthVersionLast="47" xr6:coauthVersionMax="47" xr10:uidLastSave="{00000000-0000-0000-0000-000000000000}"/>
  <bookViews>
    <workbookView xWindow="-110" yWindow="-110" windowWidth="25820" windowHeight="15500" xr2:uid="{DC6B1E90-70A5-4481-A395-241EE289D244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1" l="1"/>
  <c r="O14" i="1"/>
  <c r="M15" i="1"/>
  <c r="M14" i="1"/>
  <c r="G7" i="1"/>
  <c r="I6" i="1"/>
  <c r="E5" i="1"/>
  <c r="E7" i="1"/>
  <c r="O13" i="1"/>
  <c r="O12" i="1"/>
  <c r="O11" i="1"/>
  <c r="M12" i="1"/>
  <c r="M13" i="1"/>
  <c r="M11" i="1"/>
  <c r="K9" i="1"/>
  <c r="K2" i="1"/>
  <c r="K8" i="1"/>
  <c r="G5" i="1"/>
  <c r="B16" i="1"/>
  <c r="B13" i="1"/>
  <c r="D6" i="1"/>
  <c r="D8" i="1" s="1"/>
  <c r="D4" i="1"/>
  <c r="B2" i="1"/>
  <c r="B3" i="1" s="1"/>
  <c r="B17" i="1" l="1"/>
  <c r="B21" i="1" s="1"/>
  <c r="B4" i="1"/>
  <c r="B5" i="1" s="1"/>
  <c r="B6" i="1" s="1"/>
  <c r="B7" i="1" s="1"/>
  <c r="B20" i="1" l="1"/>
  <c r="B22" i="1" s="1"/>
  <c r="B24" i="1" s="1"/>
  <c r="B23" i="1"/>
  <c r="B25" i="1" l="1"/>
  <c r="B26" i="1" s="1"/>
</calcChain>
</file>

<file path=xl/sharedStrings.xml><?xml version="1.0" encoding="utf-8"?>
<sst xmlns="http://schemas.openxmlformats.org/spreadsheetml/2006/main" count="87" uniqueCount="65">
  <si>
    <t>c</t>
  </si>
  <si>
    <t>Rt</t>
  </si>
  <si>
    <t>Rn</t>
  </si>
  <si>
    <t>R</t>
  </si>
  <si>
    <t>Mk</t>
  </si>
  <si>
    <t>P</t>
  </si>
  <si>
    <t>n</t>
  </si>
  <si>
    <t>d</t>
  </si>
  <si>
    <t>kt</t>
  </si>
  <si>
    <t>ke</t>
  </si>
  <si>
    <t>s</t>
  </si>
  <si>
    <t>Návrh motoru</t>
  </si>
  <si>
    <t>výkon</t>
  </si>
  <si>
    <t>otáčky_vs</t>
  </si>
  <si>
    <t>poměr</t>
  </si>
  <si>
    <t>moment_vs</t>
  </si>
  <si>
    <t>otáčky_výst</t>
  </si>
  <si>
    <t>Motor+ převodovka</t>
  </si>
  <si>
    <t>Qv</t>
  </si>
  <si>
    <t>qv</t>
  </si>
  <si>
    <t>h</t>
  </si>
  <si>
    <t>alfa</t>
  </si>
  <si>
    <t>ný</t>
  </si>
  <si>
    <t>psí</t>
  </si>
  <si>
    <t>Ch</t>
  </si>
  <si>
    <t>vh</t>
  </si>
  <si>
    <t>vs</t>
  </si>
  <si>
    <t>gamma</t>
  </si>
  <si>
    <t>P1</t>
  </si>
  <si>
    <t>P2</t>
  </si>
  <si>
    <t>Ps</t>
  </si>
  <si>
    <t>Pz</t>
  </si>
  <si>
    <t>sigma_k</t>
  </si>
  <si>
    <t>k</t>
  </si>
  <si>
    <t>tau_D</t>
  </si>
  <si>
    <t>návrh kolíku</t>
  </si>
  <si>
    <t>dk</t>
  </si>
  <si>
    <t>d_výstup</t>
  </si>
  <si>
    <t>Mk_výstup</t>
  </si>
  <si>
    <t>Návrh těla vrtáku</t>
  </si>
  <si>
    <t>d_t</t>
  </si>
  <si>
    <t>kontrola kolíku</t>
  </si>
  <si>
    <t>p_D</t>
  </si>
  <si>
    <t>l</t>
  </si>
  <si>
    <t>d_hřídele</t>
  </si>
  <si>
    <t>p_Hřídel</t>
  </si>
  <si>
    <t>p_Náboj</t>
  </si>
  <si>
    <t>d_čep</t>
  </si>
  <si>
    <t>sigmaD</t>
  </si>
  <si>
    <t>G</t>
  </si>
  <si>
    <t>l_čep</t>
  </si>
  <si>
    <t>b</t>
  </si>
  <si>
    <t>tauD</t>
  </si>
  <si>
    <t>pD</t>
  </si>
  <si>
    <t>tau_č</t>
  </si>
  <si>
    <t>Mo</t>
  </si>
  <si>
    <t>Pravá str.</t>
  </si>
  <si>
    <t>p_vidlice</t>
  </si>
  <si>
    <t>p_úchyt</t>
  </si>
  <si>
    <t>kontrola čepu 1</t>
  </si>
  <si>
    <t>kontola čepu 2</t>
  </si>
  <si>
    <t>reálné hodnoty</t>
  </si>
  <si>
    <t>účinnost</t>
  </si>
  <si>
    <t>moment_výst_navrh</t>
  </si>
  <si>
    <t>p_přechodka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</si>
</sst>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4" fontId="1" fillId="5" borderId="0" xfId="0" applyNumberFormat="1" applyFont="1" applyFill="1"/>
    <xf numFmtId="0" fontId="0" fillId="6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82E63-BC5F-48DA-B062-ABBEB9281BBA}">
  <dimension ref="A1:O26"/>
  <sheetViews>
    <sheetView tabSelected="1" zoomScaleNormal="100" workbookViewId="0">
      <selection activeCell="N30" sqref="N30"/>
    </sheetView>
  </sheetViews>
  <sheetFormatPr defaultRowHeight="14.5" x14ac:dyDescent="0.35"/>
  <cols>
    <col min="5" max="5" width="12" customWidth="1"/>
    <col min="8" max="8" width="15.36328125" bestFit="1" customWidth="1"/>
    <col min="10" max="10" width="11.81640625" bestFit="1" customWidth="1"/>
    <col min="14" max="14" width="10.81640625" bestFit="1" customWidth="1"/>
  </cols>
  <sheetData>
    <row r="1" spans="1:15" x14ac:dyDescent="0.35">
      <c r="A1" s="12" t="s">
        <v>11</v>
      </c>
      <c r="B1" s="12"/>
      <c r="C1" s="13" t="s">
        <v>17</v>
      </c>
      <c r="D1" s="13"/>
      <c r="E1" s="13"/>
      <c r="F1" s="15" t="s">
        <v>39</v>
      </c>
      <c r="G1" s="15"/>
      <c r="H1" s="14" t="s">
        <v>35</v>
      </c>
      <c r="I1" s="14"/>
      <c r="J1" s="9" t="s">
        <v>41</v>
      </c>
      <c r="K1" s="9"/>
      <c r="L1" s="11" t="s">
        <v>59</v>
      </c>
      <c r="M1" s="11"/>
      <c r="N1" s="10" t="s">
        <v>60</v>
      </c>
      <c r="O1" s="10"/>
    </row>
    <row r="2" spans="1:15" x14ac:dyDescent="0.35">
      <c r="A2" s="1" t="s">
        <v>0</v>
      </c>
      <c r="B2" s="1">
        <f>B12/2</f>
        <v>0.08</v>
      </c>
      <c r="C2" s="2" t="s">
        <v>13</v>
      </c>
      <c r="D2" s="2">
        <v>470</v>
      </c>
      <c r="E2" s="2"/>
      <c r="F2" s="3" t="s">
        <v>32</v>
      </c>
      <c r="G2" s="3">
        <v>235</v>
      </c>
      <c r="H2" s="4" t="s">
        <v>34</v>
      </c>
      <c r="I2" s="4">
        <v>50</v>
      </c>
      <c r="J2" s="5" t="s">
        <v>42</v>
      </c>
      <c r="K2" s="5">
        <f>80*10^6</f>
        <v>80000000</v>
      </c>
      <c r="L2" s="6" t="s">
        <v>47</v>
      </c>
      <c r="M2" s="6">
        <v>3.3000000000000002E-2</v>
      </c>
      <c r="N2" s="7" t="s">
        <v>47</v>
      </c>
      <c r="O2" s="7">
        <v>3.3000000000000002E-2</v>
      </c>
    </row>
    <row r="3" spans="1:15" x14ac:dyDescent="0.35">
      <c r="A3" s="1" t="s">
        <v>1</v>
      </c>
      <c r="B3" s="1">
        <f>B10*B9*B2</f>
        <v>6720</v>
      </c>
      <c r="C3" s="2" t="s">
        <v>15</v>
      </c>
      <c r="D3" s="2">
        <v>120</v>
      </c>
      <c r="E3" s="2"/>
      <c r="F3" s="3" t="s">
        <v>33</v>
      </c>
      <c r="G3" s="3">
        <v>2</v>
      </c>
      <c r="H3" s="4" t="s">
        <v>37</v>
      </c>
      <c r="I3" s="4">
        <v>7.4999999999999997E-2</v>
      </c>
      <c r="J3" s="5" t="s">
        <v>43</v>
      </c>
      <c r="K3" s="5">
        <v>0.1</v>
      </c>
      <c r="L3" s="6" t="s">
        <v>48</v>
      </c>
      <c r="M3" s="6">
        <v>100</v>
      </c>
      <c r="N3" s="7" t="s">
        <v>48</v>
      </c>
      <c r="O3" s="7">
        <v>100</v>
      </c>
    </row>
    <row r="4" spans="1:15" x14ac:dyDescent="0.35">
      <c r="A4" s="1" t="s">
        <v>2</v>
      </c>
      <c r="B4" s="1">
        <f>B11*B3</f>
        <v>5376</v>
      </c>
      <c r="C4" s="2" t="s">
        <v>12</v>
      </c>
      <c r="D4" s="2">
        <f>D3*(2*3.14*D2)/60</f>
        <v>5903.2</v>
      </c>
      <c r="E4" s="2" t="s">
        <v>61</v>
      </c>
      <c r="F4" s="3" t="s">
        <v>21</v>
      </c>
      <c r="G4" s="3">
        <v>2</v>
      </c>
      <c r="H4" s="4" t="s">
        <v>38</v>
      </c>
      <c r="I4" s="8">
        <v>1047.5999999999999</v>
      </c>
      <c r="J4" s="5" t="s">
        <v>38</v>
      </c>
      <c r="K4" s="5">
        <v>1047.5999999999999</v>
      </c>
      <c r="L4" s="6" t="s">
        <v>49</v>
      </c>
      <c r="M4" s="6">
        <v>6000</v>
      </c>
      <c r="N4" s="7" t="s">
        <v>49</v>
      </c>
      <c r="O4" s="7">
        <v>6000</v>
      </c>
    </row>
    <row r="5" spans="1:15" x14ac:dyDescent="0.35">
      <c r="A5" s="1" t="s">
        <v>3</v>
      </c>
      <c r="B5" s="1">
        <f>(B3^2+B4^2)^(1/2)</f>
        <v>8605.7989751097484</v>
      </c>
      <c r="C5" s="2" t="s">
        <v>16</v>
      </c>
      <c r="D5" s="2">
        <v>55</v>
      </c>
      <c r="E5" s="2">
        <f>D2/E6</f>
        <v>52.222222222222221</v>
      </c>
      <c r="F5" s="3" t="s">
        <v>34</v>
      </c>
      <c r="G5" s="3">
        <f>G2/(G3*G4)</f>
        <v>58.75</v>
      </c>
      <c r="H5" s="4" t="s">
        <v>0</v>
      </c>
      <c r="I5" s="4">
        <v>1.2</v>
      </c>
      <c r="J5" s="5" t="s">
        <v>0</v>
      </c>
      <c r="K5" s="5">
        <v>1.2</v>
      </c>
      <c r="L5" s="6" t="s">
        <v>50</v>
      </c>
      <c r="M5" s="6">
        <v>0.105</v>
      </c>
      <c r="N5" s="7" t="s">
        <v>50</v>
      </c>
      <c r="O5" s="7">
        <v>0.1</v>
      </c>
    </row>
    <row r="6" spans="1:15" x14ac:dyDescent="0.35">
      <c r="A6" s="1" t="s">
        <v>4</v>
      </c>
      <c r="B6" s="1">
        <f>B5*(B9/2)</f>
        <v>860.57989751097489</v>
      </c>
      <c r="C6" s="2" t="s">
        <v>14</v>
      </c>
      <c r="D6" s="2">
        <f>D2/D5</f>
        <v>8.545454545454545</v>
      </c>
      <c r="E6" s="2">
        <v>9</v>
      </c>
      <c r="F6" s="3" t="s">
        <v>38</v>
      </c>
      <c r="G6" s="3">
        <v>1047.5999999999999</v>
      </c>
      <c r="H6" s="4" t="s">
        <v>36</v>
      </c>
      <c r="I6" s="4">
        <f>((4*I4*I5)/(3.14*I3*I2*10^6))^0.5</f>
        <v>2.0665118769510177E-2</v>
      </c>
      <c r="J6" s="5" t="s">
        <v>44</v>
      </c>
      <c r="K6" s="5">
        <v>7.4999999999999997E-2</v>
      </c>
      <c r="L6" s="6" t="s">
        <v>38</v>
      </c>
      <c r="M6" s="6">
        <v>1047.5999999999999</v>
      </c>
      <c r="N6" s="7" t="s">
        <v>38</v>
      </c>
      <c r="O6" s="7">
        <v>1047.5999999999999</v>
      </c>
    </row>
    <row r="7" spans="1:15" x14ac:dyDescent="0.35">
      <c r="A7" s="1" t="s">
        <v>31</v>
      </c>
      <c r="B7" s="1">
        <f>B6*((B8*2*3.14)/60)</f>
        <v>4954.0716100048458</v>
      </c>
      <c r="C7" s="2" t="s">
        <v>62</v>
      </c>
      <c r="D7" s="2">
        <v>0.97</v>
      </c>
      <c r="E7" s="2">
        <f>D3*E6*D7</f>
        <v>1047.5999999999999</v>
      </c>
      <c r="F7" s="3" t="s">
        <v>40</v>
      </c>
      <c r="G7" s="3">
        <f>((16*G6)/(3.14*G5*10^6))^0.33333333</f>
        <v>4.4956517791275998E-2</v>
      </c>
      <c r="J7" s="5" t="s">
        <v>36</v>
      </c>
      <c r="K7" s="5">
        <v>2.1999999999999999E-2</v>
      </c>
      <c r="L7" s="6" t="s">
        <v>51</v>
      </c>
      <c r="M7" s="6">
        <v>0.05</v>
      </c>
      <c r="N7" s="7" t="s">
        <v>51</v>
      </c>
      <c r="O7" s="7">
        <v>7.0000000000000007E-2</v>
      </c>
    </row>
    <row r="8" spans="1:15" x14ac:dyDescent="0.35">
      <c r="A8" s="1" t="s">
        <v>6</v>
      </c>
      <c r="B8" s="1">
        <v>55</v>
      </c>
      <c r="C8" s="2" t="s">
        <v>63</v>
      </c>
      <c r="D8" s="2">
        <f>D3*D6*D7</f>
        <v>994.69090909090914</v>
      </c>
      <c r="E8" s="2"/>
      <c r="J8" s="5" t="s">
        <v>46</v>
      </c>
      <c r="K8" s="5">
        <f>(4*K4*K5)/((K3^2-K6^2)*K7)</f>
        <v>52243948.051948026</v>
      </c>
      <c r="L8" s="6" t="s">
        <v>0</v>
      </c>
      <c r="M8" s="6">
        <v>1.2</v>
      </c>
      <c r="N8" s="7" t="s">
        <v>0</v>
      </c>
      <c r="O8" s="7">
        <v>1.2</v>
      </c>
    </row>
    <row r="9" spans="1:15" x14ac:dyDescent="0.35">
      <c r="A9" s="1" t="s">
        <v>7</v>
      </c>
      <c r="B9" s="1">
        <v>0.2</v>
      </c>
      <c r="J9" s="5" t="s">
        <v>45</v>
      </c>
      <c r="K9" s="5">
        <f>(6*K4*K5)/(K6^2*K7)</f>
        <v>60951272.727272719</v>
      </c>
      <c r="L9" s="6" t="s">
        <v>52</v>
      </c>
      <c r="M9" s="6">
        <v>70</v>
      </c>
      <c r="N9" s="7" t="s">
        <v>52</v>
      </c>
      <c r="O9" s="7">
        <v>70</v>
      </c>
    </row>
    <row r="10" spans="1:15" x14ac:dyDescent="0.35">
      <c r="A10" s="1" t="s">
        <v>8</v>
      </c>
      <c r="B10" s="1">
        <v>420000</v>
      </c>
      <c r="L10" s="6" t="s">
        <v>53</v>
      </c>
      <c r="M10" s="6">
        <v>100</v>
      </c>
      <c r="N10" s="7" t="s">
        <v>53</v>
      </c>
      <c r="O10" s="7">
        <v>100</v>
      </c>
    </row>
    <row r="11" spans="1:15" x14ac:dyDescent="0.35">
      <c r="A11" s="1" t="s">
        <v>9</v>
      </c>
      <c r="B11" s="1">
        <v>0.8</v>
      </c>
      <c r="L11" s="6" t="s">
        <v>54</v>
      </c>
      <c r="M11" s="6">
        <f>((8*M6*M8)/(3.14*M2^2*M7))*10^-6</f>
        <v>58.821919250407937</v>
      </c>
      <c r="N11" s="7" t="s">
        <v>54</v>
      </c>
      <c r="O11" s="7">
        <f>((8*O6*O8)/(3.14*O2^2*O7))*10^-6</f>
        <v>42.015656607434238</v>
      </c>
    </row>
    <row r="12" spans="1:15" x14ac:dyDescent="0.35">
      <c r="A12" s="1" t="s">
        <v>10</v>
      </c>
      <c r="B12" s="1">
        <v>0.16</v>
      </c>
      <c r="L12" s="6" t="s">
        <v>55</v>
      </c>
      <c r="M12" s="6">
        <f>(1/8)*M4*M5</f>
        <v>78.75</v>
      </c>
      <c r="N12" s="7" t="s">
        <v>55</v>
      </c>
      <c r="O12" s="7">
        <f>(1/8)*O4*O5</f>
        <v>75</v>
      </c>
    </row>
    <row r="13" spans="1:15" x14ac:dyDescent="0.35">
      <c r="A13" s="1" t="s">
        <v>18</v>
      </c>
      <c r="B13" s="1">
        <f>3600*B12*(B8/60)*B19*B18*(3.14*B9^2)/4</f>
        <v>16.579200000000004</v>
      </c>
      <c r="L13" s="6" t="s">
        <v>56</v>
      </c>
      <c r="M13" s="6">
        <f>0.1*M2^3*M3*10^6</f>
        <v>359.37000000000006</v>
      </c>
      <c r="N13" s="7" t="s">
        <v>56</v>
      </c>
      <c r="O13" s="7">
        <f>0.1*O2^3*O3*10^6</f>
        <v>359.37000000000006</v>
      </c>
    </row>
    <row r="14" spans="1:15" x14ac:dyDescent="0.35">
      <c r="A14" s="1" t="s">
        <v>19</v>
      </c>
      <c r="B14" s="1">
        <v>2200</v>
      </c>
      <c r="L14" s="6" t="s">
        <v>57</v>
      </c>
      <c r="M14" s="6">
        <f>((4*M6*M8)/((M5^2-M7^2)*M2))*10^-6</f>
        <v>17.874273527059451</v>
      </c>
      <c r="N14" s="7" t="s">
        <v>57</v>
      </c>
      <c r="O14" s="7">
        <f>((4*O6*O8)/((O5^2-O7^2)*O2))*10^-6</f>
        <v>29.878074866310147</v>
      </c>
    </row>
    <row r="15" spans="1:15" x14ac:dyDescent="0.35">
      <c r="A15" s="1" t="s">
        <v>20</v>
      </c>
      <c r="B15" s="1">
        <v>1</v>
      </c>
      <c r="L15" s="6" t="s">
        <v>58</v>
      </c>
      <c r="M15" s="6">
        <f>((6*M6*M8)/(M7^2*M2))*10^-6</f>
        <v>91.426909090909049</v>
      </c>
      <c r="N15" s="7" t="s">
        <v>64</v>
      </c>
      <c r="O15" s="7">
        <f>((6*O6*O8)/(O7^2*O2))*10^-6</f>
        <v>46.646382189239318</v>
      </c>
    </row>
    <row r="16" spans="1:15" x14ac:dyDescent="0.35">
      <c r="A16" s="1" t="s">
        <v>21</v>
      </c>
      <c r="B16" s="1">
        <f>ATAN(B12/(3.14*B9))</f>
        <v>0.24946965089782477</v>
      </c>
    </row>
    <row r="17" spans="1:2" x14ac:dyDescent="0.35">
      <c r="A17" s="1" t="s">
        <v>22</v>
      </c>
      <c r="B17" s="1">
        <f>TAN(B16)</f>
        <v>0.25477707006369421</v>
      </c>
    </row>
    <row r="18" spans="1:2" x14ac:dyDescent="0.35">
      <c r="A18" s="1" t="s">
        <v>23</v>
      </c>
      <c r="B18" s="1">
        <v>1</v>
      </c>
    </row>
    <row r="19" spans="1:2" x14ac:dyDescent="0.35">
      <c r="A19" s="1" t="s">
        <v>24</v>
      </c>
      <c r="B19" s="1">
        <v>1</v>
      </c>
    </row>
    <row r="20" spans="1:2" x14ac:dyDescent="0.35">
      <c r="A20" s="1" t="s">
        <v>25</v>
      </c>
      <c r="B20" s="1">
        <f>((B9*9.81*(SIN(B16)+B17*COS(B16)))/(2*B17))^0.5</f>
        <v>1.3788630602687193</v>
      </c>
    </row>
    <row r="21" spans="1:2" x14ac:dyDescent="0.35">
      <c r="A21" s="1" t="s">
        <v>26</v>
      </c>
      <c r="B21" s="1">
        <f>(3.14*B9*(B8/60)-((B9*9.81*(SIN(B16)-B17*COS(B16)))/(2*B17))^0.5)*TAN(B16)</f>
        <v>0.14666666666666667</v>
      </c>
    </row>
    <row r="22" spans="1:2" x14ac:dyDescent="0.35">
      <c r="A22" s="1" t="s">
        <v>27</v>
      </c>
      <c r="B22" s="1">
        <f>ATAN(B21/B20)</f>
        <v>0.10596937523783111</v>
      </c>
    </row>
    <row r="23" spans="1:2" x14ac:dyDescent="0.35">
      <c r="A23" s="1" t="s">
        <v>28</v>
      </c>
      <c r="B23" s="1">
        <f>(B13*B14*B15*9.81*(SIN(B16)+B17*COS(B16)))/(3600*SIN(B16))</f>
        <v>198.78460800000005</v>
      </c>
    </row>
    <row r="24" spans="1:2" x14ac:dyDescent="0.35">
      <c r="A24" s="1" t="s">
        <v>29</v>
      </c>
      <c r="B24" s="1">
        <f>(B13*B14*9.81*B15*(SIN(B16)+B17*COS(B16)))/(3600*SIN(B22))</f>
        <v>464.00121002790235</v>
      </c>
    </row>
    <row r="25" spans="1:2" x14ac:dyDescent="0.35">
      <c r="A25" s="1" t="s">
        <v>30</v>
      </c>
      <c r="B25" s="1">
        <f>B23+B24</f>
        <v>662.78581802790245</v>
      </c>
    </row>
    <row r="26" spans="1:2" x14ac:dyDescent="0.35">
      <c r="A26" s="1" t="s">
        <v>5</v>
      </c>
      <c r="B26" s="1">
        <f>B7+B25</f>
        <v>5616.8574280327484</v>
      </c>
    </row>
  </sheetData>
  <mergeCells count="7">
    <mergeCell ref="A1:B1"/>
    <mergeCell ref="C1:E1"/>
    <mergeCell ref="F1:G1"/>
    <mergeCell ref="H1:I1"/>
    <mergeCell ref="N1:O1"/>
    <mergeCell ref="J1:K1"/>
    <mergeCell ref="L1:M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Valenta, Daniel</dc:creator>
  <cp:lastModifiedBy>Valenta, Daniel</cp:lastModifiedBy>
  <dcterms:created xsi:type="dcterms:W3CDTF">2025-04-04T13:17:28Z</dcterms:created>
  <dcterms:modified xsi:type="dcterms:W3CDTF">2025-07-24T21:05:25Z</dcterms:modified>
</cp:coreProperties>
</file>