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14982fa2fae9e5e/Dokumenty/Bakalářka/"/>
    </mc:Choice>
  </mc:AlternateContent>
  <xr:revisionPtr revIDLastSave="471" documentId="14_{A31A7548-D76E-4AB7-8D5A-6CAF449CA66F}" xr6:coauthVersionLast="47" xr6:coauthVersionMax="47" xr10:uidLastSave="{7FC0C7EA-15EA-416A-BAFD-2F494595C1CB}"/>
  <bookViews>
    <workbookView xWindow="-108" yWindow="-108" windowWidth="23256" windowHeight="12456" activeTab="3" xr2:uid="{46720FB0-6B0D-4084-A0A3-4C521ED1C967}"/>
  </bookViews>
  <sheets>
    <sheet name="Var 1 vstupy" sheetId="1" r:id="rId1"/>
    <sheet name="Var 1" sheetId="5" r:id="rId2"/>
    <sheet name="Var 2 vstupy" sheetId="2" r:id="rId3"/>
    <sheet name="Var 2" sheetId="6" r:id="rId4"/>
    <sheet name="Cit An" sheetId="3" r:id="rId5"/>
    <sheet name="Odpisy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3" l="1"/>
  <c r="K26" i="3"/>
  <c r="D27" i="3"/>
  <c r="C27" i="3"/>
  <c r="T13" i="3"/>
  <c r="S13" i="3"/>
  <c r="P10" i="3"/>
  <c r="O10" i="3"/>
  <c r="L9" i="3"/>
  <c r="K9" i="3"/>
  <c r="H15" i="3"/>
  <c r="G15" i="3"/>
  <c r="D15" i="3"/>
  <c r="C15" i="3"/>
  <c r="J2" i="1"/>
  <c r="N2" i="1"/>
  <c r="B5" i="2"/>
  <c r="C5" i="3"/>
  <c r="C4" i="3"/>
  <c r="C14" i="3"/>
  <c r="C13" i="3"/>
  <c r="C12" i="3"/>
  <c r="C11" i="3"/>
  <c r="C10" i="3"/>
  <c r="C9" i="3"/>
  <c r="C8" i="3"/>
  <c r="C7" i="3"/>
  <c r="C6" i="3"/>
  <c r="B9" i="1"/>
  <c r="F9" i="1"/>
  <c r="F4" i="1"/>
  <c r="F3" i="1"/>
  <c r="F2" i="1"/>
  <c r="D4" i="2"/>
  <c r="B2" i="1"/>
  <c r="B20" i="1"/>
  <c r="B17" i="6"/>
  <c r="E7" i="6" l="1"/>
  <c r="F7" i="6"/>
  <c r="G7" i="6"/>
  <c r="H7" i="6"/>
  <c r="I7" i="6"/>
  <c r="J7" i="6"/>
  <c r="K7" i="6"/>
  <c r="L7" i="6"/>
  <c r="M7" i="6"/>
  <c r="N7" i="6"/>
  <c r="O7" i="6"/>
  <c r="P7" i="6"/>
  <c r="Q7" i="6"/>
  <c r="R7" i="6"/>
  <c r="S7" i="6"/>
  <c r="T7" i="6"/>
  <c r="U7" i="6"/>
  <c r="V7" i="6"/>
  <c r="D7" i="6"/>
  <c r="C7" i="6"/>
  <c r="E6" i="6"/>
  <c r="F6" i="6"/>
  <c r="G6" i="6"/>
  <c r="H6" i="6"/>
  <c r="I6" i="6"/>
  <c r="J6" i="6"/>
  <c r="K6" i="6"/>
  <c r="L6" i="6"/>
  <c r="M6" i="6"/>
  <c r="N6" i="6"/>
  <c r="O6" i="6"/>
  <c r="P6" i="6"/>
  <c r="Q6" i="6"/>
  <c r="R6" i="6"/>
  <c r="S6" i="6"/>
  <c r="T6" i="6"/>
  <c r="U6" i="6"/>
  <c r="V6" i="6"/>
  <c r="D6" i="6"/>
  <c r="E6" i="5"/>
  <c r="K4" i="4"/>
  <c r="J5" i="4" s="1"/>
  <c r="K5" i="4" s="1"/>
  <c r="G4" i="4"/>
  <c r="F7" i="4" s="1"/>
  <c r="C4" i="4"/>
  <c r="B5" i="4" s="1"/>
  <c r="C5" i="4" s="1"/>
  <c r="B8" i="2"/>
  <c r="F8" i="2" s="1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S8" i="5"/>
  <c r="T8" i="5"/>
  <c r="U8" i="5"/>
  <c r="V8" i="5"/>
  <c r="D8" i="5"/>
  <c r="I7" i="5"/>
  <c r="M7" i="5"/>
  <c r="O7" i="5"/>
  <c r="P7" i="5"/>
  <c r="Q7" i="5"/>
  <c r="R7" i="5"/>
  <c r="S7" i="5"/>
  <c r="T7" i="5"/>
  <c r="U7" i="5"/>
  <c r="D7" i="5"/>
  <c r="F6" i="5"/>
  <c r="G6" i="5"/>
  <c r="H6" i="5"/>
  <c r="I6" i="5"/>
  <c r="J6" i="5"/>
  <c r="K6" i="5"/>
  <c r="L6" i="5"/>
  <c r="M6" i="5"/>
  <c r="N6" i="5"/>
  <c r="O6" i="5"/>
  <c r="P6" i="5"/>
  <c r="Q6" i="5"/>
  <c r="R6" i="5"/>
  <c r="S6" i="5"/>
  <c r="T6" i="5"/>
  <c r="U6" i="5"/>
  <c r="V6" i="5"/>
  <c r="D6" i="5"/>
  <c r="D17" i="1"/>
  <c r="C6" i="5"/>
  <c r="B17" i="5"/>
  <c r="C6" i="6"/>
  <c r="F7" i="2"/>
  <c r="F5" i="2"/>
  <c r="F4" i="2"/>
  <c r="B3" i="2"/>
  <c r="F3" i="2" s="1"/>
  <c r="D3" i="2"/>
  <c r="B2" i="2"/>
  <c r="F2" i="2" s="1"/>
  <c r="F11" i="1"/>
  <c r="F12" i="1"/>
  <c r="F16" i="1"/>
  <c r="J7" i="5" s="1"/>
  <c r="D8" i="1"/>
  <c r="B18" i="1"/>
  <c r="F18" i="1" s="1"/>
  <c r="D13" i="1"/>
  <c r="D12" i="1"/>
  <c r="D11" i="1"/>
  <c r="D6" i="1"/>
  <c r="D5" i="1"/>
  <c r="D10" i="1"/>
  <c r="F10" i="1" s="1"/>
  <c r="B17" i="1"/>
  <c r="F17" i="1" s="1"/>
  <c r="B13" i="1"/>
  <c r="F13" i="1" s="1"/>
  <c r="B12" i="1"/>
  <c r="B7" i="1"/>
  <c r="F7" i="1" s="1"/>
  <c r="B11" i="1"/>
  <c r="B10" i="1"/>
  <c r="B6" i="1"/>
  <c r="F6" i="1" s="1"/>
  <c r="B5" i="1"/>
  <c r="F5" i="1" s="1"/>
  <c r="I5" i="5" s="1"/>
  <c r="F8" i="1"/>
  <c r="B15" i="1"/>
  <c r="F15" i="1" s="1"/>
  <c r="C5" i="6" l="1"/>
  <c r="N5" i="5"/>
  <c r="K5" i="5"/>
  <c r="P5" i="5"/>
  <c r="L5" i="5"/>
  <c r="G5" i="5"/>
  <c r="D5" i="5"/>
  <c r="O5" i="5"/>
  <c r="O10" i="5" s="1"/>
  <c r="V5" i="5"/>
  <c r="E5" i="5"/>
  <c r="S5" i="5"/>
  <c r="S10" i="5" s="1"/>
  <c r="S11" i="5" s="1"/>
  <c r="S12" i="5" s="1"/>
  <c r="T5" i="5"/>
  <c r="Q5" i="5"/>
  <c r="C5" i="5"/>
  <c r="M5" i="5"/>
  <c r="R5" i="5"/>
  <c r="F5" i="5"/>
  <c r="H5" i="5"/>
  <c r="H10" i="5" s="1"/>
  <c r="U5" i="5"/>
  <c r="J5" i="5"/>
  <c r="C13" i="4"/>
  <c r="G5" i="6"/>
  <c r="O5" i="6"/>
  <c r="D5" i="6"/>
  <c r="M5" i="6"/>
  <c r="H5" i="6"/>
  <c r="P5" i="6"/>
  <c r="I5" i="6"/>
  <c r="Q5" i="6"/>
  <c r="U5" i="6"/>
  <c r="J5" i="6"/>
  <c r="R5" i="6"/>
  <c r="K5" i="6"/>
  <c r="S5" i="6"/>
  <c r="L5" i="6"/>
  <c r="T5" i="6"/>
  <c r="E5" i="6"/>
  <c r="F5" i="6"/>
  <c r="N5" i="6"/>
  <c r="V5" i="6"/>
  <c r="B9" i="4"/>
  <c r="B6" i="4"/>
  <c r="C6" i="4" s="1"/>
  <c r="B8" i="4"/>
  <c r="J9" i="4"/>
  <c r="J6" i="4"/>
  <c r="K6" i="4" s="1"/>
  <c r="J8" i="4"/>
  <c r="J7" i="4"/>
  <c r="F5" i="4"/>
  <c r="G5" i="4" s="1"/>
  <c r="F6" i="4"/>
  <c r="F9" i="4"/>
  <c r="F8" i="4"/>
  <c r="B7" i="4"/>
  <c r="H7" i="5"/>
  <c r="G7" i="5"/>
  <c r="V7" i="5"/>
  <c r="N7" i="5"/>
  <c r="F7" i="5"/>
  <c r="E7" i="5"/>
  <c r="L7" i="5"/>
  <c r="K7" i="5"/>
  <c r="I8" i="6"/>
  <c r="Q8" i="6"/>
  <c r="J8" i="6"/>
  <c r="R8" i="6"/>
  <c r="K8" i="6"/>
  <c r="S8" i="6"/>
  <c r="L8" i="6"/>
  <c r="T8" i="6"/>
  <c r="E8" i="6"/>
  <c r="M8" i="6"/>
  <c r="U8" i="6"/>
  <c r="F8" i="6"/>
  <c r="N8" i="6"/>
  <c r="V8" i="6"/>
  <c r="G8" i="6"/>
  <c r="O8" i="6"/>
  <c r="D8" i="6"/>
  <c r="H8" i="6"/>
  <c r="P8" i="6"/>
  <c r="C8" i="6"/>
  <c r="C8" i="5"/>
  <c r="C7" i="5"/>
  <c r="B3" i="1"/>
  <c r="B4" i="5"/>
  <c r="B10" i="5" s="1"/>
  <c r="V10" i="5" l="1"/>
  <c r="B4" i="6"/>
  <c r="B10" i="6" s="1"/>
  <c r="B13" i="6" s="1"/>
  <c r="E10" i="6"/>
  <c r="U10" i="6"/>
  <c r="U11" i="6" s="1"/>
  <c r="U13" i="6" s="1"/>
  <c r="B15" i="4"/>
  <c r="D9" i="6" s="1"/>
  <c r="B17" i="4"/>
  <c r="F9" i="6" s="1"/>
  <c r="B18" i="4"/>
  <c r="G9" i="6" s="1"/>
  <c r="B14" i="4"/>
  <c r="C9" i="6" s="1"/>
  <c r="B16" i="4"/>
  <c r="E9" i="6" s="1"/>
  <c r="K10" i="6"/>
  <c r="K11" i="6" s="1"/>
  <c r="K12" i="6" s="1"/>
  <c r="M10" i="6"/>
  <c r="M11" i="6" s="1"/>
  <c r="M13" i="6" s="1"/>
  <c r="Q10" i="6"/>
  <c r="Q11" i="6" s="1"/>
  <c r="Q13" i="6" s="1"/>
  <c r="V10" i="6"/>
  <c r="V11" i="6" s="1"/>
  <c r="V12" i="6" s="1"/>
  <c r="D9" i="5"/>
  <c r="C9" i="5"/>
  <c r="N10" i="5"/>
  <c r="N11" i="5" s="1"/>
  <c r="N12" i="5" s="1"/>
  <c r="S10" i="6"/>
  <c r="S11" i="6" s="1"/>
  <c r="S12" i="6" s="1"/>
  <c r="J10" i="6"/>
  <c r="J11" i="6" s="1"/>
  <c r="J12" i="6" s="1"/>
  <c r="F10" i="6"/>
  <c r="P10" i="6"/>
  <c r="P11" i="6" s="1"/>
  <c r="P13" i="6" s="1"/>
  <c r="I10" i="6"/>
  <c r="I11" i="6" s="1"/>
  <c r="I12" i="6" s="1"/>
  <c r="D10" i="6"/>
  <c r="H10" i="6"/>
  <c r="H11" i="6" s="1"/>
  <c r="H12" i="6" s="1"/>
  <c r="B12" i="6"/>
  <c r="C7" i="4"/>
  <c r="C8" i="4" s="1"/>
  <c r="C9" i="4" s="1"/>
  <c r="G9" i="5"/>
  <c r="K7" i="4"/>
  <c r="K8" i="4" s="1"/>
  <c r="K9" i="4" s="1"/>
  <c r="F9" i="5"/>
  <c r="G6" i="4"/>
  <c r="G7" i="4" s="1"/>
  <c r="G8" i="4" s="1"/>
  <c r="G9" i="4" s="1"/>
  <c r="E9" i="5"/>
  <c r="B13" i="5"/>
  <c r="B12" i="5"/>
  <c r="N10" i="6"/>
  <c r="N11" i="6" s="1"/>
  <c r="N13" i="6" s="1"/>
  <c r="R10" i="6"/>
  <c r="R11" i="6" s="1"/>
  <c r="R12" i="6" s="1"/>
  <c r="G10" i="5"/>
  <c r="O10" i="6"/>
  <c r="O11" i="6" s="1"/>
  <c r="O13" i="6" s="1"/>
  <c r="L10" i="6"/>
  <c r="L11" i="6" s="1"/>
  <c r="L12" i="6" s="1"/>
  <c r="T10" i="6"/>
  <c r="T11" i="6" s="1"/>
  <c r="T13" i="6" s="1"/>
  <c r="G10" i="6"/>
  <c r="C10" i="6"/>
  <c r="C10" i="5"/>
  <c r="S13" i="5"/>
  <c r="H11" i="5"/>
  <c r="H13" i="5" s="1"/>
  <c r="V11" i="5"/>
  <c r="V12" i="5" s="1"/>
  <c r="O11" i="5"/>
  <c r="O13" i="5" s="1"/>
  <c r="R10" i="5"/>
  <c r="U10" i="5"/>
  <c r="P10" i="5"/>
  <c r="I10" i="5"/>
  <c r="Q10" i="5"/>
  <c r="J10" i="5"/>
  <c r="D10" i="5"/>
  <c r="L10" i="5"/>
  <c r="E10" i="5"/>
  <c r="K10" i="5"/>
  <c r="T10" i="5"/>
  <c r="M10" i="5"/>
  <c r="F10" i="5"/>
  <c r="G11" i="6" l="1"/>
  <c r="G13" i="6" s="1"/>
  <c r="E11" i="6"/>
  <c r="E13" i="6" s="1"/>
  <c r="C14" i="4"/>
  <c r="C15" i="4" s="1"/>
  <c r="C16" i="4" s="1"/>
  <c r="C17" i="4" s="1"/>
  <c r="C18" i="4" s="1"/>
  <c r="F11" i="6"/>
  <c r="F13" i="6" s="1"/>
  <c r="D11" i="6"/>
  <c r="D13" i="6" s="1"/>
  <c r="S13" i="6"/>
  <c r="K13" i="6"/>
  <c r="G11" i="5"/>
  <c r="G12" i="5" s="1"/>
  <c r="J13" i="6"/>
  <c r="R13" i="6"/>
  <c r="C11" i="6"/>
  <c r="C12" i="6" s="1"/>
  <c r="N12" i="6"/>
  <c r="P12" i="6"/>
  <c r="C11" i="5"/>
  <c r="Q12" i="6"/>
  <c r="O12" i="6"/>
  <c r="U12" i="6"/>
  <c r="T12" i="6"/>
  <c r="V13" i="6"/>
  <c r="M12" i="6"/>
  <c r="L13" i="6"/>
  <c r="I13" i="6"/>
  <c r="H13" i="6"/>
  <c r="V13" i="5"/>
  <c r="O12" i="5"/>
  <c r="F11" i="5"/>
  <c r="F13" i="5" s="1"/>
  <c r="E11" i="5"/>
  <c r="E13" i="5" s="1"/>
  <c r="R11" i="5"/>
  <c r="R12" i="5" s="1"/>
  <c r="L11" i="5"/>
  <c r="L12" i="5" s="1"/>
  <c r="J11" i="5"/>
  <c r="J13" i="5" s="1"/>
  <c r="H12" i="5"/>
  <c r="M11" i="5"/>
  <c r="M13" i="5" s="1"/>
  <c r="Q11" i="5"/>
  <c r="Q12" i="5" s="1"/>
  <c r="I11" i="5"/>
  <c r="I12" i="5" s="1"/>
  <c r="T11" i="5"/>
  <c r="T12" i="5" s="1"/>
  <c r="P11" i="5"/>
  <c r="P13" i="5" s="1"/>
  <c r="N13" i="5"/>
  <c r="K11" i="5"/>
  <c r="K12" i="5" s="1"/>
  <c r="U11" i="5"/>
  <c r="U12" i="5" s="1"/>
  <c r="D11" i="5"/>
  <c r="D13" i="5" s="1"/>
  <c r="D12" i="6" l="1"/>
  <c r="G12" i="6"/>
  <c r="E12" i="6"/>
  <c r="F12" i="6"/>
  <c r="G13" i="5"/>
  <c r="C13" i="6"/>
  <c r="B15" i="6" s="1"/>
  <c r="B16" i="6" s="1"/>
  <c r="B18" i="6" s="1"/>
  <c r="C12" i="5"/>
  <c r="C13" i="5"/>
  <c r="L13" i="5"/>
  <c r="R13" i="5"/>
  <c r="D12" i="5"/>
  <c r="U13" i="5"/>
  <c r="M12" i="5"/>
  <c r="J12" i="5"/>
  <c r="K13" i="5"/>
  <c r="Q13" i="5"/>
  <c r="I13" i="5"/>
  <c r="E12" i="5"/>
  <c r="T13" i="5"/>
  <c r="P12" i="5"/>
  <c r="F12" i="5"/>
  <c r="B15" i="5" l="1"/>
  <c r="B16" i="5" s="1"/>
  <c r="B18" i="5" s="1"/>
</calcChain>
</file>

<file path=xl/sharedStrings.xml><?xml version="1.0" encoding="utf-8"?>
<sst xmlns="http://schemas.openxmlformats.org/spreadsheetml/2006/main" count="206" uniqueCount="93">
  <si>
    <t>Tiskárna (doba životnosti 20 let)</t>
  </si>
  <si>
    <t xml:space="preserve">Resin </t>
  </si>
  <si>
    <t>Aluminium wire</t>
  </si>
  <si>
    <t>kWh/ks</t>
  </si>
  <si>
    <t>Spotřeba elektřiny (na kWh)</t>
  </si>
  <si>
    <t>Spotřeba elektřiny (mesíční platby)</t>
  </si>
  <si>
    <t>Kč/měsíc</t>
  </si>
  <si>
    <t xml:space="preserve">Rukavice </t>
  </si>
  <si>
    <t>Utěrky</t>
  </si>
  <si>
    <t>Spotřeba na základě zkušenosti s tiskem</t>
  </si>
  <si>
    <t>IPA</t>
  </si>
  <si>
    <t>Houbičky</t>
  </si>
  <si>
    <t>Fólie</t>
  </si>
  <si>
    <t>Špachtle</t>
  </si>
  <si>
    <t>Ks/rok</t>
  </si>
  <si>
    <t>Zaměstnanec</t>
  </si>
  <si>
    <t>Opravy LCD</t>
  </si>
  <si>
    <t>Opravy Zbytek</t>
  </si>
  <si>
    <t xml:space="preserve">Zmetkovitost </t>
  </si>
  <si>
    <t xml:space="preserve">Aluminium </t>
  </si>
  <si>
    <t>kg/ks</t>
  </si>
  <si>
    <t>Investice</t>
  </si>
  <si>
    <t>Rok</t>
  </si>
  <si>
    <t>Provozní náklady</t>
  </si>
  <si>
    <t>Kurz Kč/$</t>
  </si>
  <si>
    <t>Položka</t>
  </si>
  <si>
    <t>Cena v Kč</t>
  </si>
  <si>
    <t>Spotřeba</t>
  </si>
  <si>
    <t>Cena na jednotku</t>
  </si>
  <si>
    <t>Jednotka ceny</t>
  </si>
  <si>
    <t>Kč/ks</t>
  </si>
  <si>
    <t>Kč/kg</t>
  </si>
  <si>
    <t>Kč/kWh</t>
  </si>
  <si>
    <t>měsíc/rok</t>
  </si>
  <si>
    <t>Kč/l</t>
  </si>
  <si>
    <t>Kč/rok</t>
  </si>
  <si>
    <t>Ks/výrobek</t>
  </si>
  <si>
    <t>Ks/20let</t>
  </si>
  <si>
    <t>kg/výrobek</t>
  </si>
  <si>
    <t>l/výrobek</t>
  </si>
  <si>
    <t>kWh/výrobek</t>
  </si>
  <si>
    <t>Jednotka</t>
  </si>
  <si>
    <t>ks/20 let</t>
  </si>
  <si>
    <t>Kč/20 let</t>
  </si>
  <si>
    <t>Kč/výrobek</t>
  </si>
  <si>
    <t>Počet kusů za rok</t>
  </si>
  <si>
    <t>Drobný spotřební materiál</t>
  </si>
  <si>
    <t>Mzdy</t>
  </si>
  <si>
    <t>Opravy</t>
  </si>
  <si>
    <t>Odpisy</t>
  </si>
  <si>
    <t>3D Tiskárna Prusa Original SL1S SPEED</t>
  </si>
  <si>
    <t>Odpis</t>
  </si>
  <si>
    <t>Zůstatková hod.</t>
  </si>
  <si>
    <t>Aluminium bending machine (20 let životnost)</t>
  </si>
  <si>
    <t xml:space="preserve">Opravy </t>
  </si>
  <si>
    <t>Mycí a vytvrzovací stanice CW1S</t>
  </si>
  <si>
    <t>Napařovací komora</t>
  </si>
  <si>
    <t>Napařovací komora (Tž 20 let)</t>
  </si>
  <si>
    <t>CW1S (doba životnosti 20 let)</t>
  </si>
  <si>
    <t>Daň</t>
  </si>
  <si>
    <t>Diskont</t>
  </si>
  <si>
    <t>NPV</t>
  </si>
  <si>
    <t>Roční ekvivalentní náklady</t>
  </si>
  <si>
    <t>Počet výrobků za rok</t>
  </si>
  <si>
    <t>Zařízení na ohýbání hliníku</t>
  </si>
  <si>
    <t>Nůžky na stříhání drátků</t>
  </si>
  <si>
    <t>Nůžky</t>
  </si>
  <si>
    <t>Ks/20 let</t>
  </si>
  <si>
    <t>ks/rok</t>
  </si>
  <si>
    <t>Daň z příjmu</t>
  </si>
  <si>
    <t>DCF</t>
  </si>
  <si>
    <t>CF</t>
  </si>
  <si>
    <t>CFBT</t>
  </si>
  <si>
    <t xml:space="preserve">Růst </t>
  </si>
  <si>
    <t>Elektřina</t>
  </si>
  <si>
    <t>Hliník</t>
  </si>
  <si>
    <t xml:space="preserve">Ost. mat. </t>
  </si>
  <si>
    <t>Provozní výdaje</t>
  </si>
  <si>
    <t>Počet výrobků</t>
  </si>
  <si>
    <t xml:space="preserve">Počet výrobků </t>
  </si>
  <si>
    <t>Investiční výdaje</t>
  </si>
  <si>
    <t>Kurz dolaru</t>
  </si>
  <si>
    <t>Růst mezd</t>
  </si>
  <si>
    <t>Růst ceny elektřiny</t>
  </si>
  <si>
    <t>Růst cen hliníku</t>
  </si>
  <si>
    <t>Růst</t>
  </si>
  <si>
    <t>Růst cen ost. mat.</t>
  </si>
  <si>
    <t>OH</t>
  </si>
  <si>
    <t>Změna inv výdajů</t>
  </si>
  <si>
    <t>Změna o</t>
  </si>
  <si>
    <t>Změna na</t>
  </si>
  <si>
    <t>3Dn</t>
  </si>
  <si>
    <t>Náklady na výrobek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</si>
</sst>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0.0000"/>
    <numFmt numFmtId="166" formatCode="0.000E+00"/>
    <numFmt numFmtId="167" formatCode="#,##0.00\ &quot;Kč&quot;"/>
    <numFmt numFmtId="168" formatCode="0.000"/>
  </numFmts>
  <fonts count="3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9" fontId="0" fillId="0" borderId="0" xfId="0" applyNumberFormat="1"/>
    <xf numFmtId="0" fontId="0" fillId="0" borderId="1" xfId="0" applyBorder="1"/>
    <xf numFmtId="0" fontId="0" fillId="0" borderId="0" xfId="0" applyAlignment="1"/>
    <xf numFmtId="3" fontId="0" fillId="0" borderId="0" xfId="0" applyNumberFormat="1"/>
    <xf numFmtId="0" fontId="0" fillId="2" borderId="1" xfId="0" applyFill="1" applyBorder="1"/>
    <xf numFmtId="3" fontId="0" fillId="2" borderId="1" xfId="0" applyNumberFormat="1" applyFill="1" applyBorder="1"/>
    <xf numFmtId="0" fontId="0" fillId="0" borderId="1" xfId="0" applyFill="1" applyBorder="1"/>
    <xf numFmtId="3" fontId="0" fillId="0" borderId="1" xfId="0" applyNumberFormat="1" applyFill="1" applyBorder="1"/>
    <xf numFmtId="4" fontId="0" fillId="0" borderId="1" xfId="0" applyNumberFormat="1" applyFill="1" applyBorder="1"/>
    <xf numFmtId="2" fontId="0" fillId="0" borderId="0" xfId="0" applyNumberFormat="1" applyFill="1"/>
    <xf numFmtId="165" fontId="0" fillId="0" borderId="1" xfId="0" applyNumberFormat="1" applyFill="1" applyBorder="1"/>
    <xf numFmtId="0" fontId="2" fillId="0" borderId="1" xfId="1" applyFont="1" applyFill="1" applyBorder="1"/>
    <xf numFmtId="166" fontId="0" fillId="0" borderId="1" xfId="0" applyNumberFormat="1" applyFill="1" applyBorder="1"/>
    <xf numFmtId="9" fontId="0" fillId="0" borderId="1" xfId="0" applyNumberFormat="1" applyBorder="1"/>
    <xf numFmtId="3" fontId="0" fillId="0" borderId="1" xfId="0" applyNumberFormat="1" applyBorder="1"/>
    <xf numFmtId="10" fontId="0" fillId="0" borderId="1" xfId="0" applyNumberFormat="1" applyBorder="1"/>
    <xf numFmtId="2" fontId="0" fillId="0" borderId="1" xfId="0" applyNumberFormat="1" applyBorder="1"/>
    <xf numFmtId="4" fontId="0" fillId="0" borderId="1" xfId="0" applyNumberFormat="1" applyBorder="1"/>
    <xf numFmtId="168" fontId="0" fillId="0" borderId="1" xfId="0" applyNumberFormat="1" applyBorder="1"/>
    <xf numFmtId="164" fontId="0" fillId="0" borderId="1" xfId="0" applyNumberFormat="1" applyBorder="1"/>
    <xf numFmtId="9" fontId="0" fillId="2" borderId="1" xfId="0" applyNumberFormat="1" applyFill="1" applyBorder="1"/>
    <xf numFmtId="10" fontId="0" fillId="2" borderId="1" xfId="0" applyNumberFormat="1" applyFill="1" applyBorder="1"/>
    <xf numFmtId="0" fontId="0" fillId="2" borderId="1" xfId="0" applyFill="1" applyBorder="1" applyAlignment="1"/>
    <xf numFmtId="167" fontId="0" fillId="0" borderId="1" xfId="0" applyNumberFormat="1" applyBorder="1"/>
    <xf numFmtId="3" fontId="0" fillId="2" borderId="1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Citlivostní</a:t>
            </a:r>
            <a:r>
              <a:rPr lang="cs-CZ" baseline="0"/>
              <a:t> analýza - růst </a:t>
            </a:r>
            <a:r>
              <a:rPr lang="cs-CZ"/>
              <a:t>cen hliníku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0.14920542913538365"/>
          <c:y val="0.14262499594958036"/>
          <c:w val="0.81233138186281539"/>
          <c:h val="0.59825064030287545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'Cit An'!$K$3</c:f>
              <c:strCache>
                <c:ptCount val="1"/>
                <c:pt idx="0">
                  <c:v>3Dn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'Cit An'!$R$4:$R$12</c:f>
              <c:numCache>
                <c:formatCode>0%</c:formatCode>
                <c:ptCount val="9"/>
                <c:pt idx="0">
                  <c:v>-0.16</c:v>
                </c:pt>
                <c:pt idx="1">
                  <c:v>-0.12</c:v>
                </c:pt>
                <c:pt idx="2">
                  <c:v>-0.08</c:v>
                </c:pt>
                <c:pt idx="3">
                  <c:v>-0.04</c:v>
                </c:pt>
                <c:pt idx="4">
                  <c:v>0</c:v>
                </c:pt>
                <c:pt idx="5">
                  <c:v>0.04</c:v>
                </c:pt>
                <c:pt idx="6">
                  <c:v>0.08</c:v>
                </c:pt>
                <c:pt idx="7">
                  <c:v>0.12</c:v>
                </c:pt>
                <c:pt idx="8">
                  <c:v>0.16</c:v>
                </c:pt>
              </c:numCache>
            </c:numRef>
          </c:xVal>
          <c:yVal>
            <c:numRef>
              <c:f>'Cit An'!$S$4:$S$12</c:f>
              <c:numCache>
                <c:formatCode>General</c:formatCode>
                <c:ptCount val="9"/>
                <c:pt idx="0">
                  <c:v>269.33999999999997</c:v>
                </c:pt>
                <c:pt idx="1">
                  <c:v>269.35000000000002</c:v>
                </c:pt>
                <c:pt idx="2">
                  <c:v>269.35000000000002</c:v>
                </c:pt>
                <c:pt idx="3">
                  <c:v>269.36</c:v>
                </c:pt>
                <c:pt idx="4">
                  <c:v>269.37</c:v>
                </c:pt>
                <c:pt idx="5">
                  <c:v>269.39</c:v>
                </c:pt>
                <c:pt idx="6">
                  <c:v>269.42</c:v>
                </c:pt>
                <c:pt idx="7">
                  <c:v>269.45999999999998</c:v>
                </c:pt>
                <c:pt idx="8">
                  <c:v>269.52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EEE-4761-A5B4-7B6B3460E766}"/>
            </c:ext>
          </c:extLst>
        </c:ser>
        <c:ser>
          <c:idx val="1"/>
          <c:order val="1"/>
          <c:tx>
            <c:strRef>
              <c:f>'Cit An'!$L$3</c:f>
              <c:strCache>
                <c:ptCount val="1"/>
                <c:pt idx="0">
                  <c:v>OH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'Cit An'!$R$4:$R$12</c:f>
              <c:numCache>
                <c:formatCode>0%</c:formatCode>
                <c:ptCount val="9"/>
                <c:pt idx="0">
                  <c:v>-0.16</c:v>
                </c:pt>
                <c:pt idx="1">
                  <c:v>-0.12</c:v>
                </c:pt>
                <c:pt idx="2">
                  <c:v>-0.08</c:v>
                </c:pt>
                <c:pt idx="3">
                  <c:v>-0.04</c:v>
                </c:pt>
                <c:pt idx="4">
                  <c:v>0</c:v>
                </c:pt>
                <c:pt idx="5">
                  <c:v>0.04</c:v>
                </c:pt>
                <c:pt idx="6">
                  <c:v>0.08</c:v>
                </c:pt>
                <c:pt idx="7">
                  <c:v>0.12</c:v>
                </c:pt>
                <c:pt idx="8">
                  <c:v>0.16</c:v>
                </c:pt>
              </c:numCache>
            </c:numRef>
          </c:xVal>
          <c:yVal>
            <c:numRef>
              <c:f>'Cit An'!$T$4:$T$12</c:f>
              <c:numCache>
                <c:formatCode>General</c:formatCode>
                <c:ptCount val="9"/>
                <c:pt idx="0">
                  <c:v>34.94</c:v>
                </c:pt>
                <c:pt idx="1">
                  <c:v>35.4</c:v>
                </c:pt>
                <c:pt idx="2">
                  <c:v>36.01</c:v>
                </c:pt>
                <c:pt idx="3">
                  <c:v>36.839999999999996</c:v>
                </c:pt>
                <c:pt idx="4">
                  <c:v>38</c:v>
                </c:pt>
                <c:pt idx="5">
                  <c:v>39.659999999999997</c:v>
                </c:pt>
                <c:pt idx="6">
                  <c:v>42.089999999999996</c:v>
                </c:pt>
                <c:pt idx="7">
                  <c:v>45.72</c:v>
                </c:pt>
                <c:pt idx="8">
                  <c:v>51.23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EEE-4761-A5B4-7B6B3460E7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6949168"/>
        <c:axId val="1966949584"/>
      </c:scatterChart>
      <c:valAx>
        <c:axId val="1966949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Růst cen hliníku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966949584"/>
        <c:crosses val="autoZero"/>
        <c:crossBetween val="midCat"/>
      </c:valAx>
      <c:valAx>
        <c:axId val="1966949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 i="0"/>
                  <a:t>Náklady na výrobek (Kč/výrobek)</a:t>
                </a:r>
              </a:p>
            </c:rich>
          </c:tx>
          <c:layout>
            <c:manualLayout>
              <c:xMode val="edge"/>
              <c:yMode val="edge"/>
              <c:x val="3.7105600079726568E-2"/>
              <c:y val="0.1243849961372515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966949168"/>
        <c:crosses val="autoZero"/>
        <c:crossBetween val="midCat"/>
        <c:majorUnit val="7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Citlivostní analýza - inv. výdaje</a:t>
            </a:r>
          </a:p>
        </c:rich>
      </c:tx>
      <c:layout>
        <c:manualLayout>
          <c:xMode val="edge"/>
          <c:yMode val="edge"/>
          <c:x val="0.30139259113671635"/>
          <c:y val="3.21873452624833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0.11917689305997439"/>
          <c:y val="0.15861756491289392"/>
          <c:w val="0.81395170767460623"/>
          <c:h val="0.57250081717590484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'Cit An'!$C$3</c:f>
              <c:strCache>
                <c:ptCount val="1"/>
                <c:pt idx="0">
                  <c:v>3Dn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'Cit An'!$B$4:$B$14</c:f>
              <c:numCache>
                <c:formatCode>0%</c:formatCode>
                <c:ptCount val="11"/>
                <c:pt idx="0">
                  <c:v>-0.2</c:v>
                </c:pt>
                <c:pt idx="1">
                  <c:v>-0.16</c:v>
                </c:pt>
                <c:pt idx="2">
                  <c:v>-0.12</c:v>
                </c:pt>
                <c:pt idx="3">
                  <c:v>-0.08</c:v>
                </c:pt>
                <c:pt idx="4">
                  <c:v>-0.04</c:v>
                </c:pt>
                <c:pt idx="5">
                  <c:v>0</c:v>
                </c:pt>
                <c:pt idx="6">
                  <c:v>0.04</c:v>
                </c:pt>
                <c:pt idx="7">
                  <c:v>0.08</c:v>
                </c:pt>
                <c:pt idx="8">
                  <c:v>0.12</c:v>
                </c:pt>
                <c:pt idx="9">
                  <c:v>0.16</c:v>
                </c:pt>
                <c:pt idx="10">
                  <c:v>0.2</c:v>
                </c:pt>
              </c:numCache>
            </c:numRef>
          </c:xVal>
          <c:yVal>
            <c:numRef>
              <c:f>'Cit An'!$C$4:$C$14</c:f>
              <c:numCache>
                <c:formatCode>General</c:formatCode>
                <c:ptCount val="11"/>
                <c:pt idx="0">
                  <c:v>267.14</c:v>
                </c:pt>
                <c:pt idx="1">
                  <c:v>267.58999999999997</c:v>
                </c:pt>
                <c:pt idx="2">
                  <c:v>268.04000000000002</c:v>
                </c:pt>
                <c:pt idx="3">
                  <c:v>268.49</c:v>
                </c:pt>
                <c:pt idx="4">
                  <c:v>268.94</c:v>
                </c:pt>
                <c:pt idx="5">
                  <c:v>269.39999999999998</c:v>
                </c:pt>
                <c:pt idx="6">
                  <c:v>269.85000000000002</c:v>
                </c:pt>
                <c:pt idx="7">
                  <c:v>270.3</c:v>
                </c:pt>
                <c:pt idx="8">
                  <c:v>270.76</c:v>
                </c:pt>
                <c:pt idx="9">
                  <c:v>271.20999999999998</c:v>
                </c:pt>
                <c:pt idx="10">
                  <c:v>271.67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8BA-45B4-8216-32E705134E43}"/>
            </c:ext>
          </c:extLst>
        </c:ser>
        <c:ser>
          <c:idx val="1"/>
          <c:order val="1"/>
          <c:tx>
            <c:strRef>
              <c:f>'Cit An'!$D$3</c:f>
              <c:strCache>
                <c:ptCount val="1"/>
                <c:pt idx="0">
                  <c:v>OH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'Cit An'!$B$4:$B$14</c:f>
              <c:numCache>
                <c:formatCode>0%</c:formatCode>
                <c:ptCount val="11"/>
                <c:pt idx="0">
                  <c:v>-0.2</c:v>
                </c:pt>
                <c:pt idx="1">
                  <c:v>-0.16</c:v>
                </c:pt>
                <c:pt idx="2">
                  <c:v>-0.12</c:v>
                </c:pt>
                <c:pt idx="3">
                  <c:v>-0.08</c:v>
                </c:pt>
                <c:pt idx="4">
                  <c:v>-0.04</c:v>
                </c:pt>
                <c:pt idx="5">
                  <c:v>0</c:v>
                </c:pt>
                <c:pt idx="6">
                  <c:v>0.04</c:v>
                </c:pt>
                <c:pt idx="7">
                  <c:v>0.08</c:v>
                </c:pt>
                <c:pt idx="8">
                  <c:v>0.12</c:v>
                </c:pt>
                <c:pt idx="9">
                  <c:v>0.16</c:v>
                </c:pt>
                <c:pt idx="10">
                  <c:v>0.2</c:v>
                </c:pt>
              </c:numCache>
            </c:numRef>
          </c:xVal>
          <c:yVal>
            <c:numRef>
              <c:f>'Cit An'!$D$4:$D$14</c:f>
              <c:numCache>
                <c:formatCode>General</c:formatCode>
                <c:ptCount val="11"/>
                <c:pt idx="0">
                  <c:v>39.89</c:v>
                </c:pt>
                <c:pt idx="1">
                  <c:v>39.950000000000003</c:v>
                </c:pt>
                <c:pt idx="2">
                  <c:v>40.01</c:v>
                </c:pt>
                <c:pt idx="3">
                  <c:v>40.07</c:v>
                </c:pt>
                <c:pt idx="4">
                  <c:v>40.130000000000003</c:v>
                </c:pt>
                <c:pt idx="5">
                  <c:v>40.18</c:v>
                </c:pt>
                <c:pt idx="6">
                  <c:v>40.24</c:v>
                </c:pt>
                <c:pt idx="7">
                  <c:v>40.299999999999997</c:v>
                </c:pt>
                <c:pt idx="8">
                  <c:v>40.36</c:v>
                </c:pt>
                <c:pt idx="9">
                  <c:v>40.42</c:v>
                </c:pt>
                <c:pt idx="10">
                  <c:v>40.479999999999997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8BA-45B4-8216-32E705134E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998320"/>
        <c:axId val="206996656"/>
      </c:scatterChart>
      <c:valAx>
        <c:axId val="206998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Změna inv. výdajů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06996656"/>
        <c:crosses val="autoZero"/>
        <c:crossBetween val="midCat"/>
      </c:valAx>
      <c:valAx>
        <c:axId val="206996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Náklady</a:t>
                </a:r>
                <a:r>
                  <a:rPr lang="cs-CZ" baseline="0"/>
                  <a:t> na výrobek (Kč/výrobek)</a:t>
                </a:r>
                <a:endParaRPr lang="cs-C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069983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Citlivostní analýza</a:t>
            </a:r>
            <a:r>
              <a:rPr lang="cs-CZ" baseline="0"/>
              <a:t> - kurz dolaru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'Cit An'!$G$3</c:f>
              <c:strCache>
                <c:ptCount val="1"/>
                <c:pt idx="0">
                  <c:v>3Dn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'Cit An'!$F$4:$F$14</c:f>
              <c:numCache>
                <c:formatCode>0%</c:formatCode>
                <c:ptCount val="11"/>
                <c:pt idx="0">
                  <c:v>-0.04</c:v>
                </c:pt>
                <c:pt idx="1">
                  <c:v>-0.02</c:v>
                </c:pt>
                <c:pt idx="2">
                  <c:v>0</c:v>
                </c:pt>
                <c:pt idx="3">
                  <c:v>0.04</c:v>
                </c:pt>
                <c:pt idx="4">
                  <c:v>0.08</c:v>
                </c:pt>
                <c:pt idx="5">
                  <c:v>0.12</c:v>
                </c:pt>
                <c:pt idx="6">
                  <c:v>0.16</c:v>
                </c:pt>
                <c:pt idx="7">
                  <c:v>0.2</c:v>
                </c:pt>
                <c:pt idx="8">
                  <c:v>0.24</c:v>
                </c:pt>
                <c:pt idx="9">
                  <c:v>0.28000000000000003</c:v>
                </c:pt>
                <c:pt idx="10">
                  <c:v>0.32</c:v>
                </c:pt>
              </c:numCache>
            </c:numRef>
          </c:xVal>
          <c:yVal>
            <c:numRef>
              <c:f>'Cit An'!$G$4:$G$14</c:f>
              <c:numCache>
                <c:formatCode>General</c:formatCode>
                <c:ptCount val="11"/>
                <c:pt idx="0">
                  <c:v>269.2</c:v>
                </c:pt>
                <c:pt idx="1">
                  <c:v>269.3</c:v>
                </c:pt>
                <c:pt idx="2">
                  <c:v>269.39999999999998</c:v>
                </c:pt>
                <c:pt idx="3">
                  <c:v>269.60000000000002</c:v>
                </c:pt>
                <c:pt idx="4">
                  <c:v>269.8</c:v>
                </c:pt>
                <c:pt idx="5">
                  <c:v>270</c:v>
                </c:pt>
                <c:pt idx="6">
                  <c:v>270.2</c:v>
                </c:pt>
                <c:pt idx="7">
                  <c:v>270.39</c:v>
                </c:pt>
                <c:pt idx="8">
                  <c:v>270.58999999999997</c:v>
                </c:pt>
                <c:pt idx="9">
                  <c:v>270.79000000000002</c:v>
                </c:pt>
                <c:pt idx="10">
                  <c:v>270.99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5E8-4E65-848B-CAC2C5CED525}"/>
            </c:ext>
          </c:extLst>
        </c:ser>
        <c:ser>
          <c:idx val="1"/>
          <c:order val="1"/>
          <c:tx>
            <c:strRef>
              <c:f>'Cit An'!$H$3</c:f>
              <c:strCache>
                <c:ptCount val="1"/>
                <c:pt idx="0">
                  <c:v>OH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'Cit An'!$F$4:$F$14</c:f>
              <c:numCache>
                <c:formatCode>0%</c:formatCode>
                <c:ptCount val="11"/>
                <c:pt idx="0">
                  <c:v>-0.04</c:v>
                </c:pt>
                <c:pt idx="1">
                  <c:v>-0.02</c:v>
                </c:pt>
                <c:pt idx="2">
                  <c:v>0</c:v>
                </c:pt>
                <c:pt idx="3">
                  <c:v>0.04</c:v>
                </c:pt>
                <c:pt idx="4">
                  <c:v>0.08</c:v>
                </c:pt>
                <c:pt idx="5">
                  <c:v>0.12</c:v>
                </c:pt>
                <c:pt idx="6">
                  <c:v>0.16</c:v>
                </c:pt>
                <c:pt idx="7">
                  <c:v>0.2</c:v>
                </c:pt>
                <c:pt idx="8">
                  <c:v>0.24</c:v>
                </c:pt>
                <c:pt idx="9">
                  <c:v>0.28000000000000003</c:v>
                </c:pt>
                <c:pt idx="10">
                  <c:v>0.32</c:v>
                </c:pt>
              </c:numCache>
            </c:numRef>
          </c:xVal>
          <c:yVal>
            <c:numRef>
              <c:f>'Cit An'!$H$4:$H$14</c:f>
              <c:numCache>
                <c:formatCode>General</c:formatCode>
                <c:ptCount val="11"/>
                <c:pt idx="0">
                  <c:v>39.71</c:v>
                </c:pt>
                <c:pt idx="1">
                  <c:v>39.950000000000003</c:v>
                </c:pt>
                <c:pt idx="2">
                  <c:v>40.18</c:v>
                </c:pt>
                <c:pt idx="3">
                  <c:v>40.65</c:v>
                </c:pt>
                <c:pt idx="4">
                  <c:v>41.129999999999995</c:v>
                </c:pt>
                <c:pt idx="5">
                  <c:v>41.599999999999994</c:v>
                </c:pt>
                <c:pt idx="6">
                  <c:v>42.07</c:v>
                </c:pt>
                <c:pt idx="7">
                  <c:v>42.55</c:v>
                </c:pt>
                <c:pt idx="8">
                  <c:v>43.019999999999996</c:v>
                </c:pt>
                <c:pt idx="9">
                  <c:v>43.5</c:v>
                </c:pt>
                <c:pt idx="10">
                  <c:v>43.98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5E8-4E65-848B-CAC2C5CED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3275632"/>
        <c:axId val="493272304"/>
      </c:scatterChart>
      <c:valAx>
        <c:axId val="493275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Změna kurzu dolaru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93272304"/>
        <c:crosses val="autoZero"/>
        <c:crossBetween val="midCat"/>
      </c:valAx>
      <c:valAx>
        <c:axId val="493272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Náklady na výrobek</a:t>
                </a:r>
                <a:r>
                  <a:rPr lang="cs-CZ" baseline="0"/>
                  <a:t> (Kč/výrobek)</a:t>
                </a:r>
                <a:endParaRPr lang="cs-C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932756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Citlivostní</a:t>
            </a:r>
            <a:r>
              <a:rPr lang="cs-CZ" baseline="0"/>
              <a:t> analýza - růst mezd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'Cit An'!$K$3</c:f>
              <c:strCache>
                <c:ptCount val="1"/>
                <c:pt idx="0">
                  <c:v>3Dn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'Cit An'!$J$4:$J$8</c:f>
              <c:numCache>
                <c:formatCode>0%</c:formatCode>
                <c:ptCount val="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</c:numCache>
            </c:numRef>
          </c:xVal>
          <c:yVal>
            <c:numRef>
              <c:f>'Cit An'!$K$4:$K$8</c:f>
              <c:numCache>
                <c:formatCode>General</c:formatCode>
                <c:ptCount val="5"/>
                <c:pt idx="0">
                  <c:v>242.59</c:v>
                </c:pt>
                <c:pt idx="1">
                  <c:v>270.39999999999998</c:v>
                </c:pt>
                <c:pt idx="2">
                  <c:v>301.67</c:v>
                </c:pt>
                <c:pt idx="3">
                  <c:v>340.73</c:v>
                </c:pt>
                <c:pt idx="4">
                  <c:v>388.25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4BE-407D-B4EA-66C0CE95AA49}"/>
            </c:ext>
          </c:extLst>
        </c:ser>
        <c:ser>
          <c:idx val="1"/>
          <c:order val="1"/>
          <c:tx>
            <c:strRef>
              <c:f>'Cit An'!$L$3</c:f>
              <c:strCache>
                <c:ptCount val="1"/>
                <c:pt idx="0">
                  <c:v>OH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'Cit An'!$J$4:$J$8</c:f>
              <c:numCache>
                <c:formatCode>0%</c:formatCode>
                <c:ptCount val="5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</c:numCache>
            </c:numRef>
          </c:xVal>
          <c:yVal>
            <c:numRef>
              <c:f>'Cit An'!$L$4:$L$8</c:f>
              <c:numCache>
                <c:formatCode>General</c:formatCode>
                <c:ptCount val="5"/>
                <c:pt idx="0">
                  <c:v>37.479999999999997</c:v>
                </c:pt>
                <c:pt idx="1">
                  <c:v>40.18</c:v>
                </c:pt>
                <c:pt idx="2">
                  <c:v>43.44</c:v>
                </c:pt>
                <c:pt idx="3">
                  <c:v>47.39</c:v>
                </c:pt>
                <c:pt idx="4">
                  <c:v>52.19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4BE-407D-B4EA-66C0CE95AA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4975968"/>
        <c:axId val="595757360"/>
      </c:scatterChart>
      <c:valAx>
        <c:axId val="494975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Růst mezd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595757360"/>
        <c:crosses val="autoZero"/>
        <c:crossBetween val="midCat"/>
      </c:valAx>
      <c:valAx>
        <c:axId val="59575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Náklady na Výrobek (Kč/výrobek)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4949759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Citlivostní</a:t>
            </a:r>
            <a:r>
              <a:rPr lang="cs-CZ" baseline="0"/>
              <a:t> analýza - růst cen elektřiny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'Cit An'!$O$3</c:f>
              <c:strCache>
                <c:ptCount val="1"/>
                <c:pt idx="0">
                  <c:v>3Dn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'Cit An'!$N$4:$N$9</c:f>
              <c:numCache>
                <c:formatCode>0.00%</c:formatCode>
                <c:ptCount val="6"/>
                <c:pt idx="0">
                  <c:v>-1.4999999999999999E-2</c:v>
                </c:pt>
                <c:pt idx="1">
                  <c:v>0</c:v>
                </c:pt>
                <c:pt idx="2">
                  <c:v>1.4999999999999999E-2</c:v>
                </c:pt>
                <c:pt idx="3">
                  <c:v>0.03</c:v>
                </c:pt>
                <c:pt idx="4">
                  <c:v>4.4999999999999998E-2</c:v>
                </c:pt>
                <c:pt idx="5">
                  <c:v>0.06</c:v>
                </c:pt>
              </c:numCache>
            </c:numRef>
          </c:xVal>
          <c:yVal>
            <c:numRef>
              <c:f>'Cit An'!$O$4:$O$9</c:f>
              <c:numCache>
                <c:formatCode>General</c:formatCode>
                <c:ptCount val="6"/>
                <c:pt idx="0">
                  <c:v>269.24</c:v>
                </c:pt>
                <c:pt idx="1">
                  <c:v>269.32</c:v>
                </c:pt>
                <c:pt idx="2">
                  <c:v>268.39999999999998</c:v>
                </c:pt>
                <c:pt idx="3">
                  <c:v>269.5</c:v>
                </c:pt>
                <c:pt idx="4">
                  <c:v>269.61</c:v>
                </c:pt>
                <c:pt idx="5">
                  <c:v>268.73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4F5-453B-8F1C-99FA6C46139D}"/>
            </c:ext>
          </c:extLst>
        </c:ser>
        <c:ser>
          <c:idx val="1"/>
          <c:order val="1"/>
          <c:tx>
            <c:strRef>
              <c:f>'Cit An'!$P$3</c:f>
              <c:strCache>
                <c:ptCount val="1"/>
                <c:pt idx="0">
                  <c:v>OH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'Cit An'!$N$4:$N$9</c:f>
              <c:numCache>
                <c:formatCode>0.00%</c:formatCode>
                <c:ptCount val="6"/>
                <c:pt idx="0">
                  <c:v>-1.4999999999999999E-2</c:v>
                </c:pt>
                <c:pt idx="1">
                  <c:v>0</c:v>
                </c:pt>
                <c:pt idx="2">
                  <c:v>1.4999999999999999E-2</c:v>
                </c:pt>
                <c:pt idx="3">
                  <c:v>0.03</c:v>
                </c:pt>
                <c:pt idx="4">
                  <c:v>4.4999999999999998E-2</c:v>
                </c:pt>
                <c:pt idx="5">
                  <c:v>0.06</c:v>
                </c:pt>
              </c:numCache>
            </c:numRef>
          </c:xVal>
          <c:yVal>
            <c:numRef>
              <c:f>'Cit An'!$P$4:$P$9</c:f>
              <c:numCache>
                <c:formatCode>General</c:formatCode>
                <c:ptCount val="6"/>
                <c:pt idx="0">
                  <c:v>39.630000000000003</c:v>
                </c:pt>
                <c:pt idx="1">
                  <c:v>39.89</c:v>
                </c:pt>
                <c:pt idx="2">
                  <c:v>40.18</c:v>
                </c:pt>
                <c:pt idx="3">
                  <c:v>40.53</c:v>
                </c:pt>
                <c:pt idx="4">
                  <c:v>40.92</c:v>
                </c:pt>
                <c:pt idx="5">
                  <c:v>41.2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4F5-453B-8F1C-99FA6C4613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4169504"/>
        <c:axId val="644172832"/>
      </c:scatterChart>
      <c:valAx>
        <c:axId val="644169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Růst cen</a:t>
                </a:r>
                <a:r>
                  <a:rPr lang="cs-CZ" baseline="0"/>
                  <a:t> elektřiny</a:t>
                </a:r>
                <a:endParaRPr lang="cs-C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44172832"/>
        <c:crosses val="autoZero"/>
        <c:crossBetween val="midCat"/>
      </c:valAx>
      <c:valAx>
        <c:axId val="644172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Náklady na výrobek (Kč/výrobek)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441695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Citlivostní</a:t>
            </a:r>
            <a:r>
              <a:rPr lang="cs-CZ" baseline="0"/>
              <a:t> analýza - růst cen ost. mat.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0.15612510936132981"/>
          <c:y val="0.17171296296296296"/>
          <c:w val="0.79171522309711284"/>
          <c:h val="0.5168128463108777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'Cit An'!$C$17</c:f>
              <c:strCache>
                <c:ptCount val="1"/>
                <c:pt idx="0">
                  <c:v>3Dn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'Cit An'!$B$18:$B$26</c:f>
              <c:numCache>
                <c:formatCode>0%</c:formatCode>
                <c:ptCount val="9"/>
                <c:pt idx="0">
                  <c:v>-0.04</c:v>
                </c:pt>
                <c:pt idx="1">
                  <c:v>-0.02</c:v>
                </c:pt>
                <c:pt idx="2">
                  <c:v>0</c:v>
                </c:pt>
                <c:pt idx="3">
                  <c:v>0.02</c:v>
                </c:pt>
                <c:pt idx="4">
                  <c:v>0.04</c:v>
                </c:pt>
                <c:pt idx="5">
                  <c:v>0.06</c:v>
                </c:pt>
                <c:pt idx="6">
                  <c:v>0.08</c:v>
                </c:pt>
                <c:pt idx="7">
                  <c:v>0.1</c:v>
                </c:pt>
                <c:pt idx="8">
                  <c:v>0.12</c:v>
                </c:pt>
              </c:numCache>
            </c:numRef>
          </c:xVal>
          <c:yVal>
            <c:numRef>
              <c:f>'Cit An'!$C$18:$C$26</c:f>
              <c:numCache>
                <c:formatCode>General</c:formatCode>
                <c:ptCount val="9"/>
                <c:pt idx="0">
                  <c:v>265.48</c:v>
                </c:pt>
                <c:pt idx="1">
                  <c:v>266.36</c:v>
                </c:pt>
                <c:pt idx="2">
                  <c:v>267.42</c:v>
                </c:pt>
                <c:pt idx="3">
                  <c:v>268.67</c:v>
                </c:pt>
                <c:pt idx="4">
                  <c:v>270.19</c:v>
                </c:pt>
                <c:pt idx="5">
                  <c:v>272.02999999999997</c:v>
                </c:pt>
                <c:pt idx="6">
                  <c:v>274.26</c:v>
                </c:pt>
                <c:pt idx="7">
                  <c:v>276.99</c:v>
                </c:pt>
                <c:pt idx="8">
                  <c:v>280.33999999999997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7D1-4E06-B54F-40DA4E7F717A}"/>
            </c:ext>
          </c:extLst>
        </c:ser>
        <c:ser>
          <c:idx val="1"/>
          <c:order val="1"/>
          <c:tx>
            <c:strRef>
              <c:f>'Cit An'!$D$17</c:f>
              <c:strCache>
                <c:ptCount val="1"/>
                <c:pt idx="0">
                  <c:v>OH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'Cit An'!$B$18:$B$26</c:f>
              <c:numCache>
                <c:formatCode>0%</c:formatCode>
                <c:ptCount val="9"/>
                <c:pt idx="0">
                  <c:v>-0.04</c:v>
                </c:pt>
                <c:pt idx="1">
                  <c:v>-0.02</c:v>
                </c:pt>
                <c:pt idx="2">
                  <c:v>0</c:v>
                </c:pt>
                <c:pt idx="3">
                  <c:v>0.02</c:v>
                </c:pt>
                <c:pt idx="4">
                  <c:v>0.04</c:v>
                </c:pt>
                <c:pt idx="5">
                  <c:v>0.06</c:v>
                </c:pt>
                <c:pt idx="6">
                  <c:v>0.08</c:v>
                </c:pt>
                <c:pt idx="7">
                  <c:v>0.1</c:v>
                </c:pt>
                <c:pt idx="8">
                  <c:v>0.12</c:v>
                </c:pt>
              </c:numCache>
            </c:numRef>
          </c:xVal>
          <c:yVal>
            <c:numRef>
              <c:f>'Cit An'!$D$18:$D$26</c:f>
              <c:numCache>
                <c:formatCode>General</c:formatCode>
                <c:ptCount val="9"/>
                <c:pt idx="0">
                  <c:v>39.51</c:v>
                </c:pt>
                <c:pt idx="1">
                  <c:v>39.659999999999997</c:v>
                </c:pt>
                <c:pt idx="2">
                  <c:v>39.839999999999996</c:v>
                </c:pt>
                <c:pt idx="3">
                  <c:v>40.049999999999997</c:v>
                </c:pt>
                <c:pt idx="4">
                  <c:v>40.309999999999995</c:v>
                </c:pt>
                <c:pt idx="5">
                  <c:v>40.629999999999995</c:v>
                </c:pt>
                <c:pt idx="6">
                  <c:v>41.01</c:v>
                </c:pt>
                <c:pt idx="7">
                  <c:v>41.48</c:v>
                </c:pt>
                <c:pt idx="8">
                  <c:v>42.06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7D1-4E06-B54F-40DA4E7F7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0825792"/>
        <c:axId val="700824544"/>
      </c:scatterChart>
      <c:valAx>
        <c:axId val="700825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Růst</a:t>
                </a:r>
                <a:r>
                  <a:rPr lang="cs-CZ" baseline="0"/>
                  <a:t> cen ost. mat.</a:t>
                </a:r>
                <a:endParaRPr lang="cs-C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00824544"/>
        <c:crosses val="autoZero"/>
        <c:crossBetween val="midCat"/>
      </c:valAx>
      <c:valAx>
        <c:axId val="700824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Náklady na výrobek (Kč/Výrobek)</a:t>
                </a:r>
              </a:p>
            </c:rich>
          </c:tx>
          <c:layout>
            <c:manualLayout>
              <c:xMode val="edge"/>
              <c:yMode val="edge"/>
              <c:x val="2.2222222222222223E-2"/>
              <c:y val="0.123047535724701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700825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Závislost nákladů</a:t>
            </a:r>
            <a:r>
              <a:rPr lang="cs-CZ" baseline="0"/>
              <a:t> na výrobek na diskontní sazbě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'Cit An'!$K$16</c:f>
              <c:strCache>
                <c:ptCount val="1"/>
                <c:pt idx="0">
                  <c:v>3Dn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'Cit An'!$J$17:$J$24</c:f>
              <c:numCache>
                <c:formatCode>0%</c:formatCode>
                <c:ptCount val="8"/>
                <c:pt idx="0">
                  <c:v>0.06</c:v>
                </c:pt>
                <c:pt idx="1">
                  <c:v>0.08</c:v>
                </c:pt>
                <c:pt idx="2">
                  <c:v>0.1</c:v>
                </c:pt>
                <c:pt idx="3">
                  <c:v>0.12</c:v>
                </c:pt>
                <c:pt idx="4">
                  <c:v>0.14000000000000001</c:v>
                </c:pt>
                <c:pt idx="5">
                  <c:v>0.16</c:v>
                </c:pt>
                <c:pt idx="6">
                  <c:v>0.18</c:v>
                </c:pt>
                <c:pt idx="7">
                  <c:v>0.2</c:v>
                </c:pt>
              </c:numCache>
            </c:numRef>
          </c:xVal>
          <c:yVal>
            <c:numRef>
              <c:f>'Cit An'!$K$17:$K$24</c:f>
              <c:numCache>
                <c:formatCode>General</c:formatCode>
                <c:ptCount val="8"/>
                <c:pt idx="0">
                  <c:v>275.43</c:v>
                </c:pt>
                <c:pt idx="1">
                  <c:v>273.43</c:v>
                </c:pt>
                <c:pt idx="2">
                  <c:v>271.75</c:v>
                </c:pt>
                <c:pt idx="3">
                  <c:v>270.39</c:v>
                </c:pt>
                <c:pt idx="4">
                  <c:v>269.32</c:v>
                </c:pt>
                <c:pt idx="5">
                  <c:v>268.55</c:v>
                </c:pt>
                <c:pt idx="6">
                  <c:v>268.02999999999997</c:v>
                </c:pt>
                <c:pt idx="7">
                  <c:v>267.76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A3A-49F1-9311-67D7A91E7473}"/>
            </c:ext>
          </c:extLst>
        </c:ser>
        <c:ser>
          <c:idx val="1"/>
          <c:order val="1"/>
          <c:tx>
            <c:strRef>
              <c:f>'Cit An'!$L$16</c:f>
              <c:strCache>
                <c:ptCount val="1"/>
                <c:pt idx="0">
                  <c:v>OH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'Cit An'!$J$17:$J$24</c:f>
              <c:numCache>
                <c:formatCode>0%</c:formatCode>
                <c:ptCount val="8"/>
                <c:pt idx="0">
                  <c:v>0.06</c:v>
                </c:pt>
                <c:pt idx="1">
                  <c:v>0.08</c:v>
                </c:pt>
                <c:pt idx="2">
                  <c:v>0.1</c:v>
                </c:pt>
                <c:pt idx="3">
                  <c:v>0.12</c:v>
                </c:pt>
                <c:pt idx="4">
                  <c:v>0.14000000000000001</c:v>
                </c:pt>
                <c:pt idx="5">
                  <c:v>0.16</c:v>
                </c:pt>
                <c:pt idx="6">
                  <c:v>0.18</c:v>
                </c:pt>
                <c:pt idx="7">
                  <c:v>0.2</c:v>
                </c:pt>
              </c:numCache>
            </c:numRef>
          </c:xVal>
          <c:yVal>
            <c:numRef>
              <c:f>'Cit An'!$L$17:$L$24</c:f>
              <c:numCache>
                <c:formatCode>General</c:formatCode>
                <c:ptCount val="8"/>
                <c:pt idx="0">
                  <c:v>41.72</c:v>
                </c:pt>
                <c:pt idx="1">
                  <c:v>41.24</c:v>
                </c:pt>
                <c:pt idx="2">
                  <c:v>40.82</c:v>
                </c:pt>
                <c:pt idx="3">
                  <c:v>40.46</c:v>
                </c:pt>
                <c:pt idx="4">
                  <c:v>40.159999999999997</c:v>
                </c:pt>
                <c:pt idx="5">
                  <c:v>39.909999999999997</c:v>
                </c:pt>
                <c:pt idx="6">
                  <c:v>39.71</c:v>
                </c:pt>
                <c:pt idx="7">
                  <c:v>39.56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A3A-49F1-9311-67D7A91E7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0143456"/>
        <c:axId val="690150112"/>
      </c:scatterChart>
      <c:valAx>
        <c:axId val="690143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Diskontní sazba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90150112"/>
        <c:crosses val="autoZero"/>
        <c:crossBetween val="midCat"/>
      </c:valAx>
      <c:valAx>
        <c:axId val="690150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Náklady na výrobek (Kč/výrobek)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690143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83819</xdr:colOff>
      <xdr:row>46</xdr:row>
      <xdr:rowOff>137160</xdr:rowOff>
    </xdr:from>
    <xdr:to>
      <xdr:col>24</xdr:col>
      <xdr:colOff>102053</xdr:colOff>
      <xdr:row>62</xdr:row>
      <xdr:rowOff>88446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6904848F-03A2-3741-63E7-7F168783F7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29</xdr:row>
      <xdr:rowOff>125730</xdr:rowOff>
    </xdr:from>
    <xdr:to>
      <xdr:col>8</xdr:col>
      <xdr:colOff>7620</xdr:colOff>
      <xdr:row>45</xdr:row>
      <xdr:rowOff>38100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72BA6F8E-18B1-CADB-AF3A-C2A5B868DE7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29</xdr:row>
      <xdr:rowOff>129540</xdr:rowOff>
    </xdr:from>
    <xdr:to>
      <xdr:col>15</xdr:col>
      <xdr:colOff>601980</xdr:colOff>
      <xdr:row>44</xdr:row>
      <xdr:rowOff>144780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34B2C80A-0830-335C-8CC5-F4F4FBC81E8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106680</xdr:colOff>
      <xdr:row>29</xdr:row>
      <xdr:rowOff>110490</xdr:rowOff>
    </xdr:from>
    <xdr:to>
      <xdr:col>24</xdr:col>
      <xdr:colOff>106680</xdr:colOff>
      <xdr:row>46</xdr:row>
      <xdr:rowOff>68580</xdr:rowOff>
    </xdr:to>
    <xdr:graphicFrame macro="">
      <xdr:nvGraphicFramePr>
        <xdr:cNvPr id="7" name="Graf 6">
          <a:extLst>
            <a:ext uri="{FF2B5EF4-FFF2-40B4-BE49-F238E27FC236}">
              <a16:creationId xmlns:a16="http://schemas.microsoft.com/office/drawing/2014/main" id="{79A772F1-8C5D-C620-E627-01BD092B3D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44</xdr:row>
      <xdr:rowOff>148590</xdr:rowOff>
    </xdr:from>
    <xdr:to>
      <xdr:col>8</xdr:col>
      <xdr:colOff>0</xdr:colOff>
      <xdr:row>60</xdr:row>
      <xdr:rowOff>68580</xdr:rowOff>
    </xdr:to>
    <xdr:graphicFrame macro="">
      <xdr:nvGraphicFramePr>
        <xdr:cNvPr id="8" name="Graf 7">
          <a:extLst>
            <a:ext uri="{FF2B5EF4-FFF2-40B4-BE49-F238E27FC236}">
              <a16:creationId xmlns:a16="http://schemas.microsoft.com/office/drawing/2014/main" id="{A6273609-215C-B25B-71FA-360C886489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0</xdr:colOff>
      <xdr:row>44</xdr:row>
      <xdr:rowOff>140970</xdr:rowOff>
    </xdr:from>
    <xdr:to>
      <xdr:col>16</xdr:col>
      <xdr:colOff>15240</xdr:colOff>
      <xdr:row>60</xdr:row>
      <xdr:rowOff>60960</xdr:rowOff>
    </xdr:to>
    <xdr:graphicFrame macro="">
      <xdr:nvGraphicFramePr>
        <xdr:cNvPr id="9" name="Graf 8">
          <a:extLst>
            <a:ext uri="{FF2B5EF4-FFF2-40B4-BE49-F238E27FC236}">
              <a16:creationId xmlns:a16="http://schemas.microsoft.com/office/drawing/2014/main" id="{A7DAB9B7-F3BB-369C-4B57-4624B08BC6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518160</xdr:colOff>
      <xdr:row>60</xdr:row>
      <xdr:rowOff>41910</xdr:rowOff>
    </xdr:from>
    <xdr:to>
      <xdr:col>12</xdr:col>
      <xdr:colOff>68580</xdr:colOff>
      <xdr:row>76</xdr:row>
      <xdr:rowOff>91440</xdr:rowOff>
    </xdr:to>
    <xdr:graphicFrame macro="">
      <xdr:nvGraphicFramePr>
        <xdr:cNvPr id="10" name="Graf 9">
          <a:extLst>
            <a:ext uri="{FF2B5EF4-FFF2-40B4-BE49-F238E27FC236}">
              <a16:creationId xmlns:a16="http://schemas.microsoft.com/office/drawing/2014/main" id="{D9C04C52-6C38-CE31-48B9-A96434B571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5F6A8-1568-4FAE-A695-3052772E5616}">
  <dimension ref="A1:Z20"/>
  <sheetViews>
    <sheetView workbookViewId="0">
      <selection activeCell="J3" sqref="J3"/>
    </sheetView>
  </sheetViews>
  <sheetFormatPr defaultRowHeight="14.4" x14ac:dyDescent="0.3"/>
  <cols>
    <col min="1" max="1" width="28.21875" customWidth="1"/>
    <col min="2" max="3" width="15.5546875" customWidth="1"/>
    <col min="4" max="4" width="12" bestFit="1" customWidth="1"/>
    <col min="5" max="5" width="11.5546875" customWidth="1"/>
    <col min="6" max="6" width="15.88671875" customWidth="1"/>
    <col min="7" max="7" width="12.88671875" customWidth="1"/>
    <col min="9" max="9" width="17.88671875" customWidth="1"/>
  </cols>
  <sheetData>
    <row r="1" spans="1:26" x14ac:dyDescent="0.3">
      <c r="A1" s="5" t="s">
        <v>25</v>
      </c>
      <c r="B1" s="5" t="s">
        <v>26</v>
      </c>
      <c r="C1" s="5" t="s">
        <v>29</v>
      </c>
      <c r="D1" s="5" t="s">
        <v>27</v>
      </c>
      <c r="E1" s="5" t="s">
        <v>41</v>
      </c>
      <c r="F1" s="5" t="s">
        <v>28</v>
      </c>
      <c r="G1" s="5" t="s">
        <v>41</v>
      </c>
    </row>
    <row r="2" spans="1:26" x14ac:dyDescent="0.3">
      <c r="A2" s="5" t="s">
        <v>0</v>
      </c>
      <c r="B2" s="8">
        <f>49990-1995</f>
        <v>47995</v>
      </c>
      <c r="C2" s="8" t="s">
        <v>30</v>
      </c>
      <c r="D2" s="8">
        <v>1</v>
      </c>
      <c r="E2" s="8" t="s">
        <v>37</v>
      </c>
      <c r="F2" s="9">
        <f>B2*D2*J4</f>
        <v>47995</v>
      </c>
      <c r="G2" s="7" t="s">
        <v>43</v>
      </c>
      <c r="I2" s="5" t="s">
        <v>45</v>
      </c>
      <c r="J2" s="2">
        <f>8*20*12</f>
        <v>1920</v>
      </c>
      <c r="K2" s="2"/>
      <c r="L2" s="2"/>
      <c r="M2" s="5" t="s">
        <v>24</v>
      </c>
      <c r="N2" s="2">
        <f>21.31</f>
        <v>21.31</v>
      </c>
    </row>
    <row r="3" spans="1:26" x14ac:dyDescent="0.3">
      <c r="A3" s="5" t="s">
        <v>58</v>
      </c>
      <c r="B3" s="8">
        <f>18990-1995</f>
        <v>16995</v>
      </c>
      <c r="C3" s="8" t="s">
        <v>30</v>
      </c>
      <c r="D3" s="8">
        <v>1</v>
      </c>
      <c r="E3" s="8" t="s">
        <v>37</v>
      </c>
      <c r="F3" s="9">
        <f>B3*D3*J4</f>
        <v>16995</v>
      </c>
      <c r="G3" s="7" t="s">
        <v>43</v>
      </c>
      <c r="I3" s="2"/>
      <c r="J3" s="2"/>
      <c r="K3" s="2"/>
      <c r="L3" s="2"/>
      <c r="M3" s="2"/>
      <c r="N3" s="2"/>
    </row>
    <row r="4" spans="1:26" x14ac:dyDescent="0.3">
      <c r="A4" s="5" t="s">
        <v>57</v>
      </c>
      <c r="B4" s="8">
        <v>100000</v>
      </c>
      <c r="C4" s="8" t="s">
        <v>30</v>
      </c>
      <c r="D4" s="8">
        <v>1</v>
      </c>
      <c r="E4" s="8" t="s">
        <v>37</v>
      </c>
      <c r="F4" s="9">
        <f>B4*D4*J4</f>
        <v>100000</v>
      </c>
      <c r="G4" s="7" t="s">
        <v>43</v>
      </c>
      <c r="I4" s="5" t="s">
        <v>88</v>
      </c>
      <c r="J4" s="2">
        <v>1</v>
      </c>
      <c r="K4" s="2"/>
      <c r="L4" s="2"/>
      <c r="M4" s="2"/>
      <c r="N4" s="2"/>
    </row>
    <row r="5" spans="1:26" x14ac:dyDescent="0.3">
      <c r="A5" s="5" t="s">
        <v>1</v>
      </c>
      <c r="B5" s="7">
        <f>27.5*N2</f>
        <v>586.02499999999998</v>
      </c>
      <c r="C5" s="7" t="s">
        <v>31</v>
      </c>
      <c r="D5" s="7">
        <f>8.56/1000</f>
        <v>8.5599999999999999E-3</v>
      </c>
      <c r="E5" s="8" t="s">
        <v>38</v>
      </c>
      <c r="F5" s="9">
        <f t="shared" ref="F5:F18" si="0">B5*D5</f>
        <v>5.0163739999999999</v>
      </c>
      <c r="G5" s="7" t="s">
        <v>44</v>
      </c>
    </row>
    <row r="6" spans="1:26" x14ac:dyDescent="0.3">
      <c r="A6" s="5" t="s">
        <v>2</v>
      </c>
      <c r="B6" s="7">
        <f>11.2*N2</f>
        <v>238.67199999999997</v>
      </c>
      <c r="C6" s="7" t="s">
        <v>31</v>
      </c>
      <c r="D6" s="7">
        <f>0.34/1000</f>
        <v>3.4000000000000002E-4</v>
      </c>
      <c r="E6" s="8" t="s">
        <v>38</v>
      </c>
      <c r="F6" s="9">
        <f t="shared" si="0"/>
        <v>8.1148479999999995E-2</v>
      </c>
      <c r="G6" s="7" t="s">
        <v>44</v>
      </c>
    </row>
    <row r="7" spans="1:26" x14ac:dyDescent="0.3">
      <c r="A7" s="5" t="s">
        <v>10</v>
      </c>
      <c r="B7" s="7">
        <f>179</f>
        <v>179</v>
      </c>
      <c r="C7" s="7" t="s">
        <v>34</v>
      </c>
      <c r="D7" s="7">
        <v>5.0000000000000001E-3</v>
      </c>
      <c r="E7" s="8" t="s">
        <v>39</v>
      </c>
      <c r="F7" s="9">
        <f t="shared" si="0"/>
        <v>0.89500000000000002</v>
      </c>
      <c r="G7" s="7" t="s">
        <v>44</v>
      </c>
    </row>
    <row r="8" spans="1:26" x14ac:dyDescent="0.3">
      <c r="A8" s="5" t="s">
        <v>4</v>
      </c>
      <c r="B8" s="10">
        <v>7.3245100000000001</v>
      </c>
      <c r="C8" s="7" t="s">
        <v>32</v>
      </c>
      <c r="D8" s="11">
        <f>((14.921+3.22)/8+33.33*400*(10/3600))/1000</f>
        <v>3.9300958333333337E-2</v>
      </c>
      <c r="E8" s="7" t="s">
        <v>40</v>
      </c>
      <c r="F8" s="9">
        <f t="shared" si="0"/>
        <v>0.28786026232208334</v>
      </c>
      <c r="G8" s="7" t="s">
        <v>44</v>
      </c>
    </row>
    <row r="9" spans="1:26" x14ac:dyDescent="0.3">
      <c r="A9" s="5" t="s">
        <v>5</v>
      </c>
      <c r="B9" s="7">
        <f>902.43*0.15</f>
        <v>135.36449999999999</v>
      </c>
      <c r="C9" s="7" t="s">
        <v>6</v>
      </c>
      <c r="D9" s="7">
        <v>12</v>
      </c>
      <c r="E9" s="8" t="s">
        <v>33</v>
      </c>
      <c r="F9" s="9">
        <f>B9*D9</f>
        <v>1624.3739999999998</v>
      </c>
      <c r="G9" s="12" t="s">
        <v>35</v>
      </c>
    </row>
    <row r="10" spans="1:26" x14ac:dyDescent="0.3">
      <c r="A10" s="5" t="s">
        <v>7</v>
      </c>
      <c r="B10" s="7">
        <f>52</f>
        <v>52</v>
      </c>
      <c r="C10" s="7" t="s">
        <v>30</v>
      </c>
      <c r="D10" s="7">
        <f>1/200</f>
        <v>5.0000000000000001E-3</v>
      </c>
      <c r="E10" s="8" t="s">
        <v>36</v>
      </c>
      <c r="F10" s="9">
        <f t="shared" si="0"/>
        <v>0.26</v>
      </c>
      <c r="G10" s="7" t="s">
        <v>44</v>
      </c>
    </row>
    <row r="11" spans="1:26" x14ac:dyDescent="0.3">
      <c r="A11" s="5" t="s">
        <v>8</v>
      </c>
      <c r="B11" s="7">
        <f>55/2</f>
        <v>27.5</v>
      </c>
      <c r="C11" s="7" t="s">
        <v>30</v>
      </c>
      <c r="D11" s="7">
        <f>2/100</f>
        <v>0.02</v>
      </c>
      <c r="E11" s="8" t="s">
        <v>36</v>
      </c>
      <c r="F11" s="9">
        <f t="shared" si="0"/>
        <v>0.55000000000000004</v>
      </c>
      <c r="G11" s="7" t="s">
        <v>44</v>
      </c>
    </row>
    <row r="12" spans="1:26" x14ac:dyDescent="0.3">
      <c r="A12" s="5" t="s">
        <v>11</v>
      </c>
      <c r="B12" s="7">
        <f>1.5</f>
        <v>1.5</v>
      </c>
      <c r="C12" s="7" t="s">
        <v>30</v>
      </c>
      <c r="D12" s="7">
        <f>1/100</f>
        <v>0.01</v>
      </c>
      <c r="E12" s="8" t="s">
        <v>36</v>
      </c>
      <c r="F12" s="9">
        <f t="shared" si="0"/>
        <v>1.4999999999999999E-2</v>
      </c>
      <c r="G12" s="7" t="s">
        <v>44</v>
      </c>
      <c r="Z12" t="s">
        <v>9</v>
      </c>
    </row>
    <row r="13" spans="1:26" x14ac:dyDescent="0.3">
      <c r="A13" s="5" t="s">
        <v>12</v>
      </c>
      <c r="B13" s="7">
        <f>39.8</f>
        <v>39.799999999999997</v>
      </c>
      <c r="C13" s="7" t="s">
        <v>30</v>
      </c>
      <c r="D13" s="7">
        <f>1/200</f>
        <v>5.0000000000000001E-3</v>
      </c>
      <c r="E13" s="8" t="s">
        <v>36</v>
      </c>
      <c r="F13" s="9">
        <f t="shared" si="0"/>
        <v>0.19899999999999998</v>
      </c>
      <c r="G13" s="7" t="s">
        <v>44</v>
      </c>
    </row>
    <row r="14" spans="1:26" x14ac:dyDescent="0.3">
      <c r="A14" s="5" t="s">
        <v>66</v>
      </c>
      <c r="B14" s="7">
        <v>399</v>
      </c>
      <c r="C14" s="7" t="s">
        <v>30</v>
      </c>
      <c r="D14" s="7">
        <v>1</v>
      </c>
      <c r="E14" s="8" t="s">
        <v>67</v>
      </c>
      <c r="F14" s="9">
        <v>399</v>
      </c>
      <c r="G14" s="7" t="s">
        <v>43</v>
      </c>
    </row>
    <row r="15" spans="1:26" x14ac:dyDescent="0.3">
      <c r="A15" s="5" t="s">
        <v>13</v>
      </c>
      <c r="B15" s="7">
        <f>35</f>
        <v>35</v>
      </c>
      <c r="C15" s="7" t="s">
        <v>30</v>
      </c>
      <c r="D15" s="7">
        <v>1</v>
      </c>
      <c r="E15" s="7" t="s">
        <v>14</v>
      </c>
      <c r="F15" s="9">
        <f t="shared" si="0"/>
        <v>35</v>
      </c>
      <c r="G15" s="12" t="s">
        <v>35</v>
      </c>
    </row>
    <row r="16" spans="1:26" x14ac:dyDescent="0.3">
      <c r="A16" s="5" t="s">
        <v>15</v>
      </c>
      <c r="B16" s="8">
        <v>42615</v>
      </c>
      <c r="C16" s="7" t="s">
        <v>6</v>
      </c>
      <c r="D16" s="7">
        <v>12</v>
      </c>
      <c r="E16" s="8" t="s">
        <v>33</v>
      </c>
      <c r="F16" s="9">
        <f t="shared" si="0"/>
        <v>511380</v>
      </c>
      <c r="G16" s="12" t="s">
        <v>35</v>
      </c>
    </row>
    <row r="17" spans="1:7" x14ac:dyDescent="0.3">
      <c r="A17" s="5" t="s">
        <v>16</v>
      </c>
      <c r="B17" s="7">
        <f>3000</f>
        <v>3000</v>
      </c>
      <c r="C17" s="7" t="s">
        <v>30</v>
      </c>
      <c r="D17" s="13">
        <f>1/3000</f>
        <v>3.3333333333333332E-4</v>
      </c>
      <c r="E17" s="8" t="s">
        <v>36</v>
      </c>
      <c r="F17" s="9">
        <f t="shared" si="0"/>
        <v>1</v>
      </c>
      <c r="G17" s="7" t="s">
        <v>44</v>
      </c>
    </row>
    <row r="18" spans="1:7" x14ac:dyDescent="0.3">
      <c r="A18" s="5" t="s">
        <v>17</v>
      </c>
      <c r="B18" s="7">
        <f>35*21</f>
        <v>735</v>
      </c>
      <c r="C18" s="7" t="s">
        <v>6</v>
      </c>
      <c r="D18" s="7">
        <v>12</v>
      </c>
      <c r="E18" s="8" t="s">
        <v>33</v>
      </c>
      <c r="F18" s="9">
        <f t="shared" si="0"/>
        <v>8820</v>
      </c>
      <c r="G18" s="12" t="s">
        <v>35</v>
      </c>
    </row>
    <row r="19" spans="1:7" x14ac:dyDescent="0.3">
      <c r="A19" s="5" t="s">
        <v>18</v>
      </c>
      <c r="B19" s="14">
        <v>0.01</v>
      </c>
      <c r="C19" s="1"/>
    </row>
    <row r="20" spans="1:7" x14ac:dyDescent="0.3">
      <c r="A20" s="5" t="s">
        <v>79</v>
      </c>
      <c r="B20" s="2">
        <f>160*12</f>
        <v>1920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2982F-9499-4F1D-8DB7-54E1DE436F81}">
  <dimension ref="A1:V19"/>
  <sheetViews>
    <sheetView workbookViewId="0">
      <selection activeCell="A18" sqref="A18"/>
    </sheetView>
  </sheetViews>
  <sheetFormatPr defaultRowHeight="14.4" x14ac:dyDescent="0.3"/>
  <cols>
    <col min="1" max="1" width="22.6640625" customWidth="1"/>
    <col min="2" max="2" width="10.109375" customWidth="1"/>
  </cols>
  <sheetData>
    <row r="1" spans="1:22" x14ac:dyDescent="0.3">
      <c r="C1" s="5" t="s">
        <v>59</v>
      </c>
      <c r="D1" s="14">
        <v>0.19</v>
      </c>
      <c r="E1" s="5" t="s">
        <v>60</v>
      </c>
      <c r="F1" s="16">
        <v>0.13830000000000001</v>
      </c>
    </row>
    <row r="3" spans="1:22" x14ac:dyDescent="0.3">
      <c r="A3" s="5" t="s">
        <v>22</v>
      </c>
      <c r="B3" s="6">
        <v>0</v>
      </c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6">
        <v>8</v>
      </c>
      <c r="K3" s="6">
        <v>9</v>
      </c>
      <c r="L3" s="6">
        <v>10</v>
      </c>
      <c r="M3" s="6">
        <v>11</v>
      </c>
      <c r="N3" s="6">
        <v>12</v>
      </c>
      <c r="O3" s="6">
        <v>13</v>
      </c>
      <c r="P3" s="6">
        <v>14</v>
      </c>
      <c r="Q3" s="6">
        <v>15</v>
      </c>
      <c r="R3" s="6">
        <v>16</v>
      </c>
      <c r="S3" s="6">
        <v>17</v>
      </c>
      <c r="T3" s="6">
        <v>18</v>
      </c>
      <c r="U3" s="6">
        <v>19</v>
      </c>
      <c r="V3" s="6">
        <v>20</v>
      </c>
    </row>
    <row r="4" spans="1:22" x14ac:dyDescent="0.3">
      <c r="A4" s="5" t="s">
        <v>21</v>
      </c>
      <c r="B4" s="15">
        <f>-'Var 1 vstupy'!F2-'Var 1 vstupy'!F3-'Var 1 vstupy'!F4</f>
        <v>-164990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</row>
    <row r="5" spans="1:22" x14ac:dyDescent="0.3">
      <c r="A5" s="5" t="s">
        <v>77</v>
      </c>
      <c r="B5" s="15"/>
      <c r="C5" s="15">
        <f>-('Var 1 vstupy'!$F$5+'Var 1 vstupy'!$F$6+'Var 1 vstupy'!$F$7+'Var 1 vstupy'!$F$8)*160*12-'Var 1 vstupy'!$F$9</f>
        <v>-13682.708865258399</v>
      </c>
      <c r="D5" s="15">
        <f>-('Var 1 vstupy'!$F$5*POWER(1+$I$19,D3-1)+'Var 1 vstupy'!$F$6*POWER(1+$I$18,D3-1)+'Var 1 vstupy'!$F$7*POWER(1+$I$19,D3-1)+'Var 1 vstupy'!$F$8*POWER(1+$I$17,D3-1))*160*12-'Var 1 vstupy'!$F$9*POWER(1+$I$17,D3-1)</f>
        <v>-14063.650247293277</v>
      </c>
      <c r="E5" s="15">
        <f>-('Var 1 vstupy'!$F$5*POWER(1+$I$19,E3-1)+'Var 1 vstupy'!$F$6*POWER(1+$I$18,E3-1)+'Var 1 vstupy'!$F$7*POWER(1+$I$19,E3-1)+'Var 1 vstupy'!$F$8*POWER(1+$I$17,E3-1))*160*12-'Var 1 vstupy'!$F$9*POWER(1+$I$17,E3-1)</f>
        <v>-14455.685836087472</v>
      </c>
      <c r="F5" s="15">
        <f>-('Var 1 vstupy'!$F$5*POWER(1+$I$19,F3-1)+'Var 1 vstupy'!$F$6*POWER(1+$I$18,F3-1)+'Var 1 vstupy'!$F$7*POWER(1+$I$19,F3-1)+'Var 1 vstupy'!$F$8*POWER(1+$I$17,F3-1))*160*12-'Var 1 vstupy'!$F$9*POWER(1+$I$17,F3-1)</f>
        <v>-14859.148900501106</v>
      </c>
      <c r="G5" s="15">
        <f>-('Var 1 vstupy'!$F$5*POWER(1+$I$19,G3-1)+'Var 1 vstupy'!$F$6*POWER(1+$I$18,G3-1)+'Var 1 vstupy'!$F$7*POWER(1+$I$19,G3-1)+'Var 1 vstupy'!$F$8*POWER(1+$I$17,G3-1))*160*12-'Var 1 vstupy'!$F$9*POWER(1+$I$17,G3-1)</f>
        <v>-15274.382986758836</v>
      </c>
      <c r="H5" s="15">
        <f>-('Var 1 vstupy'!$F$5*POWER(1+$I$19,H3-1)+'Var 1 vstupy'!$F$6*POWER(1+$I$18,H3-1)+'Var 1 vstupy'!$F$7*POWER(1+$I$19,H3-1)+'Var 1 vstupy'!$F$8*POWER(1+$I$17,H3-1))*160*12-'Var 1 vstupy'!$F$9*POWER(1+$I$17,H3-1)</f>
        <v>-15701.74224459325</v>
      </c>
      <c r="I5" s="15">
        <f>-('Var 1 vstupy'!$F$5*POWER(1+$I$19,I3-1)+'Var 1 vstupy'!$F$6*POWER(1+$I$18,I3-1)+'Var 1 vstupy'!$F$7*POWER(1+$I$19,I3-1)+'Var 1 vstupy'!$F$8*POWER(1+$I$17,I3-1))*160*12-'Var 1 vstupy'!$F$9*POWER(1+$I$17,I3-1)</f>
        <v>-16141.591764121496</v>
      </c>
      <c r="J5" s="15">
        <f>-('Var 1 vstupy'!$F$5*POWER(1+$I$19,J3-1)+'Var 1 vstupy'!$F$6*POWER(1+$I$18,J3-1)+'Var 1 vstupy'!$F$7*POWER(1+$I$19,J3-1)+'Var 1 vstupy'!$F$8*POWER(1+$I$17,J3-1))*160*12-'Var 1 vstupy'!$F$9*POWER(1+$I$17,J3-1)</f>
        <v>-16594.307923825545</v>
      </c>
      <c r="K5" s="15">
        <f>-('Var 1 vstupy'!$F$5*POWER(1+$I$19,K3-1)+'Var 1 vstupy'!$F$6*POWER(1+$I$18,K3-1)+'Var 1 vstupy'!$F$7*POWER(1+$I$19,K3-1)+'Var 1 vstupy'!$F$8*POWER(1+$I$17,K3-1))*160*12-'Var 1 vstupy'!$F$9*POWER(1+$I$17,K3-1)</f>
        <v>-17060.278750019861</v>
      </c>
      <c r="L5" s="15">
        <f>-('Var 1 vstupy'!$F$5*POWER(1+$I$19,L3-1)+'Var 1 vstupy'!$F$6*POWER(1+$I$18,L3-1)+'Var 1 vstupy'!$F$7*POWER(1+$I$19,L3-1)+'Var 1 vstupy'!$F$8*POWER(1+$I$17,L3-1))*160*12-'Var 1 vstupy'!$F$9*POWER(1+$I$17,L3-1)</f>
        <v>-17539.904288204521</v>
      </c>
      <c r="M5" s="15">
        <f>-('Var 1 vstupy'!$F$5*POWER(1+$I$19,M3-1)+'Var 1 vstupy'!$F$6*POWER(1+$I$18,M3-1)+'Var 1 vstupy'!$F$7*POWER(1+$I$19,M3-1)+'Var 1 vstupy'!$F$8*POWER(1+$I$17,M3-1))*160*12-'Var 1 vstupy'!$F$9*POWER(1+$I$17,M3-1)</f>
        <v>-18033.596986716173</v>
      </c>
      <c r="N5" s="15">
        <f>-('Var 1 vstupy'!$F$5*POWER(1+$I$19,N3-1)+'Var 1 vstupy'!$F$6*POWER(1+$I$18,N3-1)+'Var 1 vstupy'!$F$7*POWER(1+$I$19,N3-1)+'Var 1 vstupy'!$F$8*POWER(1+$I$17,N3-1))*160*12-'Var 1 vstupy'!$F$9*POWER(1+$I$17,N3-1)</f>
        <v>-18541.782093104652</v>
      </c>
      <c r="O5" s="15">
        <f>-('Var 1 vstupy'!$F$5*POWER(1+$I$19,O3-1)+'Var 1 vstupy'!$F$6*POWER(1+$I$18,O3-1)+'Var 1 vstupy'!$F$7*POWER(1+$I$19,O3-1)+'Var 1 vstupy'!$F$8*POWER(1+$I$17,O3-1))*160*12-'Var 1 vstupy'!$F$9*POWER(1+$I$17,O3-1)</f>
        <v>-19064.898063678756</v>
      </c>
      <c r="P5" s="15">
        <f>-('Var 1 vstupy'!$F$5*POWER(1+$I$19,P3-1)+'Var 1 vstupy'!$F$6*POWER(1+$I$18,P3-1)+'Var 1 vstupy'!$F$7*POWER(1+$I$19,P3-1)+'Var 1 vstupy'!$F$8*POWER(1+$I$17,P3-1))*160*12-'Var 1 vstupy'!$F$9*POWER(1+$I$17,P3-1)</f>
        <v>-19603.396986681077</v>
      </c>
      <c r="Q5" s="15">
        <f>-('Var 1 vstupy'!$F$5*POWER(1+$I$19,Q3-1)+'Var 1 vstupy'!$F$6*POWER(1+$I$18,Q3-1)+'Var 1 vstupy'!$F$7*POWER(1+$I$19,Q3-1)+'Var 1 vstupy'!$F$8*POWER(1+$I$17,Q3-1))*160*12-'Var 1 vstupy'!$F$9*POWER(1+$I$17,Q3-1)</f>
        <v>-20157.74501956884</v>
      </c>
      <c r="R5" s="15">
        <f>-('Var 1 vstupy'!$F$5*POWER(1+$I$19,R3-1)+'Var 1 vstupy'!$F$6*POWER(1+$I$18,R3-1)+'Var 1 vstupy'!$F$7*POWER(1+$I$19,R3-1)+'Var 1 vstupy'!$F$8*POWER(1+$I$17,R3-1))*160*12-'Var 1 vstupy'!$F$9*POWER(1+$I$17,R3-1)</f>
        <v>-20728.422840895495</v>
      </c>
      <c r="S5" s="15">
        <f>-('Var 1 vstupy'!$F$5*POWER(1+$I$19,S3-1)+'Var 1 vstupy'!$F$6*POWER(1+$I$18,S3-1)+'Var 1 vstupy'!$F$7*POWER(1+$I$19,S3-1)+'Var 1 vstupy'!$F$8*POWER(1+$I$17,S3-1))*160*12-'Var 1 vstupy'!$F$9*POWER(1+$I$17,S3-1)</f>
        <v>-21315.926117306124</v>
      </c>
      <c r="T5" s="15">
        <f>-('Var 1 vstupy'!$F$5*POWER(1+$I$19,T3-1)+'Var 1 vstupy'!$F$6*POWER(1+$I$18,T3-1)+'Var 1 vstupy'!$F$7*POWER(1+$I$19,T3-1)+'Var 1 vstupy'!$F$8*POWER(1+$I$17,T3-1))*160*12-'Var 1 vstupy'!$F$9*POWER(1+$I$17,T3-1)</f>
        <v>-21920.765986179074</v>
      </c>
      <c r="U5" s="15">
        <f>-('Var 1 vstupy'!$F$5*POWER(1+$I$19,U3-1)+'Var 1 vstupy'!$F$6*POWER(1+$I$18,U3-1)+'Var 1 vstupy'!$F$7*POWER(1+$I$19,U3-1)+'Var 1 vstupy'!$F$8*POWER(1+$I$17,U3-1))*160*12-'Var 1 vstupy'!$F$9*POWER(1+$I$17,U3-1)</f>
        <v>-22543.469554465868</v>
      </c>
      <c r="V5" s="15">
        <f>-('Var 1 vstupy'!$F$5*POWER(1+$I$19,V3-1)+'Var 1 vstupy'!$F$6*POWER(1+$I$18,V3-1)+'Var 1 vstupy'!$F$7*POWER(1+$I$19,V3-1)+'Var 1 vstupy'!$F$8*POWER(1+$I$17,V3-1))*160*12-'Var 1 vstupy'!$F$9*POWER(1+$I$17,V3-1)</f>
        <v>-23184.580414302523</v>
      </c>
    </row>
    <row r="6" spans="1:22" x14ac:dyDescent="0.3">
      <c r="A6" s="5" t="s">
        <v>46</v>
      </c>
      <c r="B6" s="15"/>
      <c r="C6" s="15">
        <f>-('Var 1 vstupy'!$F$10+'Var 1 vstupy'!$F$11+'Var 1 vstupy'!$F$12+'Var 1 vstupy'!$F$13)*160*12-'Var 1 vstupy'!$F$15-'Var 1 vstupy'!F14</f>
        <v>-2400.08</v>
      </c>
      <c r="D6" s="15">
        <f>-(('Var 1 vstupy'!$F$10+'Var 1 vstupy'!$F$11+'Var 1 vstupy'!$F$12+'Var 1 vstupy'!$F$13)*160*12-'Var 1 vstupy'!$F$15)*POWER(1+$I$19,D3-1)</f>
        <v>-1989.0124000000001</v>
      </c>
      <c r="E6" s="15">
        <f>-(('Var 1 vstupy'!$F$10+'Var 1 vstupy'!$F$11+'Var 1 vstupy'!$F$12+'Var 1 vstupy'!$F$13)*160*12-'Var 1 vstupy'!$F$15)*POWER(1+$I$19,E3-1)</f>
        <v>-2048.6827719999997</v>
      </c>
      <c r="F6" s="15">
        <f>-(('Var 1 vstupy'!$F$10+'Var 1 vstupy'!$F$11+'Var 1 vstupy'!$F$12+'Var 1 vstupy'!$F$13)*160*12-'Var 1 vstupy'!$F$15)*POWER(1+$I$19,F3-1)</f>
        <v>-2110.1432551600001</v>
      </c>
      <c r="G6" s="15">
        <f>-(('Var 1 vstupy'!$F$10+'Var 1 vstupy'!$F$11+'Var 1 vstupy'!$F$12+'Var 1 vstupy'!$F$13)*160*12-'Var 1 vstupy'!$F$15)*POWER(1+$I$19,G3-1)</f>
        <v>-2173.4475528147996</v>
      </c>
      <c r="H6" s="15">
        <f>-(('Var 1 vstupy'!$F$10+'Var 1 vstupy'!$F$11+'Var 1 vstupy'!$F$12+'Var 1 vstupy'!$F$13)*160*12-'Var 1 vstupy'!$F$15)*POWER(1+$I$19,H3-1)</f>
        <v>-2238.6509793992436</v>
      </c>
      <c r="I6" s="15">
        <f>-(('Var 1 vstupy'!$F$10+'Var 1 vstupy'!$F$11+'Var 1 vstupy'!$F$12+'Var 1 vstupy'!$F$13)*160*12-'Var 1 vstupy'!$F$15)*POWER(1+$I$19,I3-1)</f>
        <v>-2305.810508781221</v>
      </c>
      <c r="J6" s="15">
        <f>-(('Var 1 vstupy'!$F$10+'Var 1 vstupy'!$F$11+'Var 1 vstupy'!$F$12+'Var 1 vstupy'!$F$13)*160*12-'Var 1 vstupy'!$F$15)*POWER(1+$I$19,J3-1)</f>
        <v>-2374.9848240446577</v>
      </c>
      <c r="K6" s="15">
        <f>-(('Var 1 vstupy'!$F$10+'Var 1 vstupy'!$F$11+'Var 1 vstupy'!$F$12+'Var 1 vstupy'!$F$13)*160*12-'Var 1 vstupy'!$F$15)*POWER(1+$I$19,K3-1)</f>
        <v>-2446.2343687659973</v>
      </c>
      <c r="L6" s="15">
        <f>-(('Var 1 vstupy'!$F$10+'Var 1 vstupy'!$F$11+'Var 1 vstupy'!$F$12+'Var 1 vstupy'!$F$13)*160*12-'Var 1 vstupy'!$F$15)*POWER(1+$I$19,L3-1)</f>
        <v>-2519.6213998289772</v>
      </c>
      <c r="M6" s="15">
        <f>-(('Var 1 vstupy'!$F$10+'Var 1 vstupy'!$F$11+'Var 1 vstupy'!$F$12+'Var 1 vstupy'!$F$13)*160*12-'Var 1 vstupy'!$F$15)*POWER(1+$I$19,M3-1)</f>
        <v>-2595.2100418238465</v>
      </c>
      <c r="N6" s="15">
        <f>-(('Var 1 vstupy'!$F$10+'Var 1 vstupy'!$F$11+'Var 1 vstupy'!$F$12+'Var 1 vstupy'!$F$13)*160*12-'Var 1 vstupy'!$F$15)*POWER(1+$I$19,N3-1)</f>
        <v>-2673.0663430785621</v>
      </c>
      <c r="O6" s="15">
        <f>-(('Var 1 vstupy'!$F$10+'Var 1 vstupy'!$F$11+'Var 1 vstupy'!$F$12+'Var 1 vstupy'!$F$13)*160*12-'Var 1 vstupy'!$F$15)*POWER(1+$I$19,O3-1)</f>
        <v>-2753.2583333709185</v>
      </c>
      <c r="P6" s="15">
        <f>-(('Var 1 vstupy'!$F$10+'Var 1 vstupy'!$F$11+'Var 1 vstupy'!$F$12+'Var 1 vstupy'!$F$13)*160*12-'Var 1 vstupy'!$F$15)*POWER(1+$I$19,P3-1)</f>
        <v>-2835.8560833720458</v>
      </c>
      <c r="Q6" s="15">
        <f>-(('Var 1 vstupy'!$F$10+'Var 1 vstupy'!$F$11+'Var 1 vstupy'!$F$12+'Var 1 vstupy'!$F$13)*160*12-'Var 1 vstupy'!$F$15)*POWER(1+$I$19,Q3-1)</f>
        <v>-2920.9317658732075</v>
      </c>
      <c r="R6" s="15">
        <f>-(('Var 1 vstupy'!$F$10+'Var 1 vstupy'!$F$11+'Var 1 vstupy'!$F$12+'Var 1 vstupy'!$F$13)*160*12-'Var 1 vstupy'!$F$15)*POWER(1+$I$19,R3-1)</f>
        <v>-3008.5597188494039</v>
      </c>
      <c r="S6" s="15">
        <f>-(('Var 1 vstupy'!$F$10+'Var 1 vstupy'!$F$11+'Var 1 vstupy'!$F$12+'Var 1 vstupy'!$F$13)*160*12-'Var 1 vstupy'!$F$15)*POWER(1+$I$19,S3-1)</f>
        <v>-3098.8165104148857</v>
      </c>
      <c r="T6" s="15">
        <f>-(('Var 1 vstupy'!$F$10+'Var 1 vstupy'!$F$11+'Var 1 vstupy'!$F$12+'Var 1 vstupy'!$F$13)*160*12-'Var 1 vstupy'!$F$15)*POWER(1+$I$19,T3-1)</f>
        <v>-3191.7810057273323</v>
      </c>
      <c r="U6" s="15">
        <f>-(('Var 1 vstupy'!$F$10+'Var 1 vstupy'!$F$11+'Var 1 vstupy'!$F$12+'Var 1 vstupy'!$F$13)*160*12-'Var 1 vstupy'!$F$15)*POWER(1+$I$19,U3-1)</f>
        <v>-3287.5344358991524</v>
      </c>
      <c r="V6" s="15">
        <f>-(('Var 1 vstupy'!$F$10+'Var 1 vstupy'!$F$11+'Var 1 vstupy'!$F$12+'Var 1 vstupy'!$F$13)*160*12-'Var 1 vstupy'!$F$15)*POWER(1+$I$19,V3-1)</f>
        <v>-3386.1604689761266</v>
      </c>
    </row>
    <row r="7" spans="1:22" x14ac:dyDescent="0.3">
      <c r="A7" s="5" t="s">
        <v>47</v>
      </c>
      <c r="B7" s="15"/>
      <c r="C7" s="15">
        <f>-'Var 1 vstupy'!$F$16</f>
        <v>-511380</v>
      </c>
      <c r="D7" s="15">
        <f>-'Var 1 vstupy'!$F$16*POWER(1+$I$16,D3-1)</f>
        <v>-521607.60000000003</v>
      </c>
      <c r="E7" s="15">
        <f>-'Var 1 vstupy'!$F$16*POWER(1+$I$16,E3-1)</f>
        <v>-532039.75199999998</v>
      </c>
      <c r="F7" s="15">
        <f>-'Var 1 vstupy'!$F$16*POWER(1+$I$16,F3-1)</f>
        <v>-542680.54703999998</v>
      </c>
      <c r="G7" s="15">
        <f>-'Var 1 vstupy'!$F$16*POWER(1+$I$16,G3-1)</f>
        <v>-553534.15798080002</v>
      </c>
      <c r="H7" s="15">
        <f>-'Var 1 vstupy'!$F$16*POWER(1+$I$16,H3-1)</f>
        <v>-564604.84114041599</v>
      </c>
      <c r="I7" s="15">
        <f>-'Var 1 vstupy'!$F$16*POWER(1+$I$16,I3-1)</f>
        <v>-575896.93796322437</v>
      </c>
      <c r="J7" s="15">
        <f>-'Var 1 vstupy'!$F$16*POWER(1+$I$16,J3-1)</f>
        <v>-587414.87672248867</v>
      </c>
      <c r="K7" s="15">
        <f>-'Var 1 vstupy'!$F$16*POWER(1+$I$16,K3-1)</f>
        <v>-599163.17425693851</v>
      </c>
      <c r="L7" s="15">
        <f>-'Var 1 vstupy'!$F$16*POWER(1+$I$16,L3-1)</f>
        <v>-611146.43774207728</v>
      </c>
      <c r="M7" s="15">
        <f>-'Var 1 vstupy'!$F$16*POWER(1+$I$16,M3-1)</f>
        <v>-623369.36649691884</v>
      </c>
      <c r="N7" s="15">
        <f>-'Var 1 vstupy'!$F$16*POWER(1+$I$16,N3-1)</f>
        <v>-635836.7538268572</v>
      </c>
      <c r="O7" s="15">
        <f>-'Var 1 vstupy'!$F$16*POWER(1+$I$16,O3-1)</f>
        <v>-648553.48890339443</v>
      </c>
      <c r="P7" s="15">
        <f>-'Var 1 vstupy'!$F$16*POWER(1+$I$16,P3-1)</f>
        <v>-661524.55868146219</v>
      </c>
      <c r="Q7" s="15">
        <f>-'Var 1 vstupy'!$F$16*POWER(1+$I$16,Q3-1)</f>
        <v>-674755.04985509161</v>
      </c>
      <c r="R7" s="15">
        <f>-'Var 1 vstupy'!$F$16*POWER(1+$I$16,R3-1)</f>
        <v>-688250.15085219324</v>
      </c>
      <c r="S7" s="15">
        <f>-'Var 1 vstupy'!$F$16*POWER(1+$I$16,S3-1)</f>
        <v>-702015.15386923717</v>
      </c>
      <c r="T7" s="15">
        <f>-'Var 1 vstupy'!$F$16*POWER(1+$I$16,T3-1)</f>
        <v>-716055.456946622</v>
      </c>
      <c r="U7" s="15">
        <f>-'Var 1 vstupy'!$F$16*POWER(1+$I$16,U3-1)</f>
        <v>-730376.56608555431</v>
      </c>
      <c r="V7" s="15">
        <f>-'Var 1 vstupy'!$F$16*POWER(1+$I$16,V3-1)</f>
        <v>-744984.09740726545</v>
      </c>
    </row>
    <row r="8" spans="1:22" x14ac:dyDescent="0.3">
      <c r="A8" s="5" t="s">
        <v>48</v>
      </c>
      <c r="B8" s="15"/>
      <c r="C8" s="15">
        <f>-'Var 1 vstupy'!$F$17*160*12-'Var 1 vstupy'!$F$18</f>
        <v>-10740</v>
      </c>
      <c r="D8" s="15">
        <f>-('Var 1 vstupy'!$F$17*160*12+'Var 1 vstupy'!$F$18)*POWER(1+$I$19,D3-1)</f>
        <v>-11062.2</v>
      </c>
      <c r="E8" s="15">
        <f>-('Var 1 vstupy'!$F$17*160*12+'Var 1 vstupy'!$F$18)*POWER(1+$I$19,E3-1)</f>
        <v>-11394.065999999999</v>
      </c>
      <c r="F8" s="15">
        <f>-('Var 1 vstupy'!$F$17*160*12+'Var 1 vstupy'!$F$18)*POWER(1+$I$19,F3-1)</f>
        <v>-11735.88798</v>
      </c>
      <c r="G8" s="15">
        <f>-('Var 1 vstupy'!$F$17*160*12+'Var 1 vstupy'!$F$18)*POWER(1+$I$19,G3-1)</f>
        <v>-12087.9646194</v>
      </c>
      <c r="H8" s="15">
        <f>-('Var 1 vstupy'!$F$17*160*12+'Var 1 vstupy'!$F$18)*POWER(1+$I$19,H3-1)</f>
        <v>-12450.603557981998</v>
      </c>
      <c r="I8" s="15">
        <f>-('Var 1 vstupy'!$F$17*160*12+'Var 1 vstupy'!$F$18)*POWER(1+$I$19,I3-1)</f>
        <v>-12824.121664721459</v>
      </c>
      <c r="J8" s="15">
        <f>-('Var 1 vstupy'!$F$17*160*12+'Var 1 vstupy'!$F$18)*POWER(1+$I$19,J3-1)</f>
        <v>-13208.845314663104</v>
      </c>
      <c r="K8" s="15">
        <f>-('Var 1 vstupy'!$F$17*160*12+'Var 1 vstupy'!$F$18)*POWER(1+$I$19,K3-1)</f>
        <v>-13605.110674102994</v>
      </c>
      <c r="L8" s="15">
        <f>-('Var 1 vstupy'!$F$17*160*12+'Var 1 vstupy'!$F$18)*POWER(1+$I$19,L3-1)</f>
        <v>-14013.263994326086</v>
      </c>
      <c r="M8" s="15">
        <f>-('Var 1 vstupy'!$F$17*160*12+'Var 1 vstupy'!$F$18)*POWER(1+$I$19,M3-1)</f>
        <v>-14433.661914155868</v>
      </c>
      <c r="N8" s="15">
        <f>-('Var 1 vstupy'!$F$17*160*12+'Var 1 vstupy'!$F$18)*POWER(1+$I$19,N3-1)</f>
        <v>-14866.671771580544</v>
      </c>
      <c r="O8" s="15">
        <f>-('Var 1 vstupy'!$F$17*160*12+'Var 1 vstupy'!$F$18)*POWER(1+$I$19,O3-1)</f>
        <v>-15312.671924727958</v>
      </c>
      <c r="P8" s="15">
        <f>-('Var 1 vstupy'!$F$17*160*12+'Var 1 vstupy'!$F$18)*POWER(1+$I$19,P3-1)</f>
        <v>-15772.052082469796</v>
      </c>
      <c r="Q8" s="15">
        <f>-('Var 1 vstupy'!$F$17*160*12+'Var 1 vstupy'!$F$18)*POWER(1+$I$19,Q3-1)</f>
        <v>-16245.213644943893</v>
      </c>
      <c r="R8" s="15">
        <f>-('Var 1 vstupy'!$F$17*160*12+'Var 1 vstupy'!$F$18)*POWER(1+$I$19,R3-1)</f>
        <v>-16732.57005429221</v>
      </c>
      <c r="S8" s="15">
        <f>-('Var 1 vstupy'!$F$17*160*12+'Var 1 vstupy'!$F$18)*POWER(1+$I$19,S3-1)</f>
        <v>-17234.547155920973</v>
      </c>
      <c r="T8" s="15">
        <f>-('Var 1 vstupy'!$F$17*160*12+'Var 1 vstupy'!$F$18)*POWER(1+$I$19,T3-1)</f>
        <v>-17751.583570598603</v>
      </c>
      <c r="U8" s="15">
        <f>-('Var 1 vstupy'!$F$17*160*12+'Var 1 vstupy'!$F$18)*POWER(1+$I$19,U3-1)</f>
        <v>-18284.13107771656</v>
      </c>
      <c r="V8" s="15">
        <f>-('Var 1 vstupy'!$F$17*160*12+'Var 1 vstupy'!$F$18)*POWER(1+$I$19,V3-1)</f>
        <v>-18832.655010048056</v>
      </c>
    </row>
    <row r="9" spans="1:22" x14ac:dyDescent="0.3">
      <c r="A9" s="5" t="s">
        <v>49</v>
      </c>
      <c r="B9" s="15"/>
      <c r="C9" s="15">
        <f>Odpisy!B5+Odpisy!F5+Odpisy!J5</f>
        <v>18148.900000000001</v>
      </c>
      <c r="D9" s="15">
        <f>Odpisy!B6+Odpisy!F6+Odpisy!J6</f>
        <v>36710.275000000001</v>
      </c>
      <c r="E9" s="15">
        <f>Odpisy!B7+Odpisy!F7+Odpisy!J7</f>
        <v>36710.275000000001</v>
      </c>
      <c r="F9" s="15">
        <f>Odpisy!B8+Odpisy!F8+Odpisy!J8</f>
        <v>36710.275000000001</v>
      </c>
      <c r="G9" s="15">
        <f>Odpisy!B9+Odpisy!F9+Odpisy!J9</f>
        <v>36710.275000000001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</row>
    <row r="10" spans="1:22" x14ac:dyDescent="0.3">
      <c r="A10" s="5" t="s">
        <v>72</v>
      </c>
      <c r="B10" s="15">
        <f>SUM(B4:B8)</f>
        <v>-164990</v>
      </c>
      <c r="C10" s="15">
        <f t="shared" ref="C10:V10" si="0">SUM(C4:C8)</f>
        <v>-538202.78886525845</v>
      </c>
      <c r="D10" s="15">
        <f t="shared" si="0"/>
        <v>-548722.46264729323</v>
      </c>
      <c r="E10" s="15">
        <f t="shared" si="0"/>
        <v>-559938.18660808739</v>
      </c>
      <c r="F10" s="15">
        <f t="shared" si="0"/>
        <v>-571385.72717566113</v>
      </c>
      <c r="G10" s="15">
        <f t="shared" si="0"/>
        <v>-583069.95313977369</v>
      </c>
      <c r="H10" s="15">
        <f t="shared" si="0"/>
        <v>-594995.83792239055</v>
      </c>
      <c r="I10" s="15">
        <f t="shared" si="0"/>
        <v>-607168.46190084843</v>
      </c>
      <c r="J10" s="15">
        <f t="shared" si="0"/>
        <v>-619593.01478502201</v>
      </c>
      <c r="K10" s="15">
        <f t="shared" si="0"/>
        <v>-632274.79804982734</v>
      </c>
      <c r="L10" s="15">
        <f t="shared" si="0"/>
        <v>-645219.22742443695</v>
      </c>
      <c r="M10" s="15">
        <f t="shared" si="0"/>
        <v>-658431.83543961472</v>
      </c>
      <c r="N10" s="15">
        <f t="shared" si="0"/>
        <v>-671918.27403462096</v>
      </c>
      <c r="O10" s="15">
        <f t="shared" si="0"/>
        <v>-685684.31722517207</v>
      </c>
      <c r="P10" s="15">
        <f t="shared" si="0"/>
        <v>-699735.86383398518</v>
      </c>
      <c r="Q10" s="15">
        <f t="shared" si="0"/>
        <v>-714078.94028547755</v>
      </c>
      <c r="R10" s="15">
        <f t="shared" si="0"/>
        <v>-728719.7034662303</v>
      </c>
      <c r="S10" s="15">
        <f t="shared" si="0"/>
        <v>-743664.44365287921</v>
      </c>
      <c r="T10" s="15">
        <f t="shared" si="0"/>
        <v>-758919.58750912698</v>
      </c>
      <c r="U10" s="15">
        <f t="shared" si="0"/>
        <v>-774491.70115363598</v>
      </c>
      <c r="V10" s="15">
        <f t="shared" si="0"/>
        <v>-790387.49330059218</v>
      </c>
    </row>
    <row r="11" spans="1:22" x14ac:dyDescent="0.3">
      <c r="A11" s="5" t="s">
        <v>69</v>
      </c>
      <c r="B11" s="15"/>
      <c r="C11" s="15">
        <f>-(C10-C9)*$D$1</f>
        <v>105706.82088439912</v>
      </c>
      <c r="D11" s="15">
        <f t="shared" ref="D11:V11" si="1">-(D10-D9)*$D$1</f>
        <v>111232.22015298571</v>
      </c>
      <c r="E11" s="15">
        <f t="shared" si="1"/>
        <v>113363.20770553661</v>
      </c>
      <c r="F11" s="15">
        <f t="shared" si="1"/>
        <v>115538.24041337562</v>
      </c>
      <c r="G11" s="15">
        <f t="shared" si="1"/>
        <v>117758.24334655701</v>
      </c>
      <c r="H11" s="15">
        <f t="shared" si="1"/>
        <v>113049.2092052542</v>
      </c>
      <c r="I11" s="15">
        <f t="shared" si="1"/>
        <v>115362.00776116121</v>
      </c>
      <c r="J11" s="15">
        <f t="shared" si="1"/>
        <v>117722.67280915419</v>
      </c>
      <c r="K11" s="15">
        <f t="shared" si="1"/>
        <v>120132.2116294672</v>
      </c>
      <c r="L11" s="15">
        <f t="shared" si="1"/>
        <v>122591.65321064302</v>
      </c>
      <c r="M11" s="15">
        <f t="shared" si="1"/>
        <v>125102.0487335268</v>
      </c>
      <c r="N11" s="15">
        <f t="shared" si="1"/>
        <v>127664.47206657799</v>
      </c>
      <c r="O11" s="15">
        <f t="shared" si="1"/>
        <v>130280.0202727827</v>
      </c>
      <c r="P11" s="15">
        <f t="shared" si="1"/>
        <v>132949.81412845719</v>
      </c>
      <c r="Q11" s="15">
        <f t="shared" si="1"/>
        <v>135674.99865424074</v>
      </c>
      <c r="R11" s="15">
        <f t="shared" si="1"/>
        <v>138456.74365858376</v>
      </c>
      <c r="S11" s="15">
        <f t="shared" si="1"/>
        <v>141296.24429404706</v>
      </c>
      <c r="T11" s="15">
        <f t="shared" si="1"/>
        <v>144194.72162673413</v>
      </c>
      <c r="U11" s="15">
        <f t="shared" si="1"/>
        <v>147153.42321919082</v>
      </c>
      <c r="V11" s="15">
        <f t="shared" si="1"/>
        <v>150173.62372711251</v>
      </c>
    </row>
    <row r="12" spans="1:22" x14ac:dyDescent="0.3">
      <c r="A12" s="5" t="s">
        <v>71</v>
      </c>
      <c r="B12" s="15">
        <f>B10-B11</f>
        <v>-164990</v>
      </c>
      <c r="C12" s="15">
        <f>C10+C11</f>
        <v>-432495.96798085934</v>
      </c>
      <c r="D12" s="15">
        <f t="shared" ref="D12:V12" si="2">D10+D11</f>
        <v>-437490.24249430752</v>
      </c>
      <c r="E12" s="15">
        <f t="shared" si="2"/>
        <v>-446574.97890255076</v>
      </c>
      <c r="F12" s="15">
        <f t="shared" si="2"/>
        <v>-455847.48676228552</v>
      </c>
      <c r="G12" s="15">
        <f t="shared" si="2"/>
        <v>-465311.70979321667</v>
      </c>
      <c r="H12" s="15">
        <f t="shared" si="2"/>
        <v>-481946.62871713634</v>
      </c>
      <c r="I12" s="15">
        <f t="shared" si="2"/>
        <v>-491806.45413968724</v>
      </c>
      <c r="J12" s="15">
        <f t="shared" si="2"/>
        <v>-501870.34197586781</v>
      </c>
      <c r="K12" s="15">
        <f t="shared" si="2"/>
        <v>-512142.58642036014</v>
      </c>
      <c r="L12" s="15">
        <f t="shared" si="2"/>
        <v>-522627.57421379391</v>
      </c>
      <c r="M12" s="15">
        <f t="shared" si="2"/>
        <v>-533329.78670608788</v>
      </c>
      <c r="N12" s="15">
        <f t="shared" si="2"/>
        <v>-544253.80196804297</v>
      </c>
      <c r="O12" s="15">
        <f t="shared" si="2"/>
        <v>-555404.29695238941</v>
      </c>
      <c r="P12" s="15">
        <f t="shared" si="2"/>
        <v>-566786.04970552796</v>
      </c>
      <c r="Q12" s="15">
        <f t="shared" si="2"/>
        <v>-578403.94163123681</v>
      </c>
      <c r="R12" s="15">
        <f t="shared" si="2"/>
        <v>-590262.95980764658</v>
      </c>
      <c r="S12" s="15">
        <f t="shared" si="2"/>
        <v>-602368.19935883209</v>
      </c>
      <c r="T12" s="15">
        <f t="shared" si="2"/>
        <v>-614724.86588239286</v>
      </c>
      <c r="U12" s="15">
        <f t="shared" si="2"/>
        <v>-627338.27793444518</v>
      </c>
      <c r="V12" s="15">
        <f t="shared" si="2"/>
        <v>-640213.86957347963</v>
      </c>
    </row>
    <row r="13" spans="1:22" x14ac:dyDescent="0.3">
      <c r="A13" s="5" t="s">
        <v>70</v>
      </c>
      <c r="B13" s="15">
        <f>(B10-B11+B9)/POWER((1+$F$1),B3)</f>
        <v>-164990</v>
      </c>
      <c r="C13" s="15">
        <f>(C10+C11)/POWER((1+$F$1),C3)</f>
        <v>-379949.0186952994</v>
      </c>
      <c r="D13" s="15">
        <f t="shared" ref="D13:V13" si="3">(D10+D11)/POWER((1+$F$1),D3)</f>
        <v>-337640.7836178405</v>
      </c>
      <c r="E13" s="15">
        <f t="shared" si="3"/>
        <v>-302777.90442488284</v>
      </c>
      <c r="F13" s="15">
        <f t="shared" si="3"/>
        <v>-271514.24596402008</v>
      </c>
      <c r="G13" s="15">
        <f t="shared" si="3"/>
        <v>-243478.32347014255</v>
      </c>
      <c r="H13" s="15">
        <f t="shared" si="3"/>
        <v>-221543.25465344766</v>
      </c>
      <c r="I13" s="15">
        <f t="shared" si="3"/>
        <v>-198608.15312365</v>
      </c>
      <c r="J13" s="15">
        <f t="shared" si="3"/>
        <v>-178048.22358590321</v>
      </c>
      <c r="K13" s="15">
        <f t="shared" si="3"/>
        <v>-159617.41302478084</v>
      </c>
      <c r="L13" s="15">
        <f t="shared" si="3"/>
        <v>-143095.16547084256</v>
      </c>
      <c r="M13" s="15">
        <f t="shared" si="3"/>
        <v>-128283.77917769866</v>
      </c>
      <c r="N13" s="15">
        <f t="shared" si="3"/>
        <v>-115006.0378011063</v>
      </c>
      <c r="O13" s="15">
        <f t="shared" si="3"/>
        <v>-103103.08716570309</v>
      </c>
      <c r="P13" s="15">
        <f t="shared" si="3"/>
        <v>-92432.532152214422</v>
      </c>
      <c r="Q13" s="15">
        <f t="shared" si="3"/>
        <v>-82866.730879446972</v>
      </c>
      <c r="R13" s="15">
        <f t="shared" si="3"/>
        <v>-74291.265722824348</v>
      </c>
      <c r="S13" s="15">
        <f t="shared" si="3"/>
        <v>-66603.572833073922</v>
      </c>
      <c r="T13" s="15">
        <f t="shared" si="3"/>
        <v>-59711.71372040634</v>
      </c>
      <c r="U13" s="15">
        <f t="shared" si="3"/>
        <v>-53533.274173991973</v>
      </c>
      <c r="V13" s="15">
        <f t="shared" si="3"/>
        <v>-47994.377314189805</v>
      </c>
    </row>
    <row r="14" spans="1:22" x14ac:dyDescent="0.3"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x14ac:dyDescent="0.3">
      <c r="A15" s="5" t="s">
        <v>61</v>
      </c>
      <c r="B15" s="15">
        <f>SUM($B$13:$V$13)</f>
        <v>-3425088.856971466</v>
      </c>
      <c r="C15" s="4"/>
      <c r="D15" s="4"/>
      <c r="E15" s="4"/>
      <c r="F15" s="4"/>
      <c r="G15" s="4"/>
      <c r="H15" s="25" t="s">
        <v>73</v>
      </c>
      <c r="I15" s="25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x14ac:dyDescent="0.3">
      <c r="A16" s="5" t="s">
        <v>62</v>
      </c>
      <c r="B16" s="15">
        <f>PMT(F1,20,1,,)*B15</f>
        <v>512078.3370105616</v>
      </c>
      <c r="C16" s="4"/>
      <c r="D16" s="4"/>
      <c r="E16" s="4"/>
      <c r="F16" s="4"/>
      <c r="G16" s="4"/>
      <c r="H16" s="6" t="s">
        <v>47</v>
      </c>
      <c r="I16" s="16">
        <v>0.02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9" x14ac:dyDescent="0.3">
      <c r="A17" s="5" t="s">
        <v>63</v>
      </c>
      <c r="B17" s="15">
        <f>160*12*0.99</f>
        <v>1900.8</v>
      </c>
      <c r="H17" s="5" t="s">
        <v>74</v>
      </c>
      <c r="I17" s="16">
        <v>1.4999999999999999E-2</v>
      </c>
    </row>
    <row r="18" spans="1:9" x14ac:dyDescent="0.3">
      <c r="A18" s="5" t="s">
        <v>92</v>
      </c>
      <c r="B18" s="17">
        <f>B16/B17</f>
        <v>269.40148201313218</v>
      </c>
      <c r="H18" s="5" t="s">
        <v>75</v>
      </c>
      <c r="I18" s="16">
        <v>0.05</v>
      </c>
    </row>
    <row r="19" spans="1:9" x14ac:dyDescent="0.3">
      <c r="H19" s="5" t="s">
        <v>76</v>
      </c>
      <c r="I19" s="16">
        <v>0.03</v>
      </c>
    </row>
  </sheetData>
  <mergeCells count="1">
    <mergeCell ref="H15:I15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79D3F-193E-40A3-9881-4896EA1CE4F6}">
  <dimension ref="A1:G10"/>
  <sheetViews>
    <sheetView workbookViewId="0">
      <selection activeCell="A9" sqref="A9:B10"/>
    </sheetView>
  </sheetViews>
  <sheetFormatPr defaultRowHeight="14.4" x14ac:dyDescent="0.3"/>
  <cols>
    <col min="1" max="1" width="38.88671875" customWidth="1"/>
    <col min="2" max="2" width="10" customWidth="1"/>
    <col min="3" max="3" width="14" customWidth="1"/>
    <col min="4" max="4" width="14.33203125" customWidth="1"/>
    <col min="5" max="5" width="10.109375" customWidth="1"/>
    <col min="6" max="6" width="15.44140625" customWidth="1"/>
    <col min="7" max="7" width="10.6640625" customWidth="1"/>
  </cols>
  <sheetData>
    <row r="1" spans="1:7" x14ac:dyDescent="0.3">
      <c r="A1" s="5" t="s">
        <v>25</v>
      </c>
      <c r="B1" s="5" t="s">
        <v>26</v>
      </c>
      <c r="C1" s="5" t="s">
        <v>29</v>
      </c>
      <c r="D1" s="5" t="s">
        <v>27</v>
      </c>
      <c r="E1" s="5" t="s">
        <v>41</v>
      </c>
      <c r="F1" s="5" t="s">
        <v>28</v>
      </c>
      <c r="G1" s="5" t="s">
        <v>41</v>
      </c>
    </row>
    <row r="2" spans="1:7" x14ac:dyDescent="0.3">
      <c r="A2" s="5" t="s">
        <v>53</v>
      </c>
      <c r="B2" s="2">
        <f>10000*'Var 1 vstupy'!N2</f>
        <v>213100</v>
      </c>
      <c r="C2" s="2" t="s">
        <v>30</v>
      </c>
      <c r="D2" s="2">
        <v>1</v>
      </c>
      <c r="E2" s="2" t="s">
        <v>42</v>
      </c>
      <c r="F2" s="18">
        <f>B2*D2*1</f>
        <v>213100</v>
      </c>
      <c r="G2" s="2" t="s">
        <v>43</v>
      </c>
    </row>
    <row r="3" spans="1:7" x14ac:dyDescent="0.3">
      <c r="A3" s="5" t="s">
        <v>19</v>
      </c>
      <c r="B3" s="2">
        <f>3.5*'Var 1 vstupy'!N2</f>
        <v>74.584999999999994</v>
      </c>
      <c r="C3" s="2" t="s">
        <v>31</v>
      </c>
      <c r="D3" s="19">
        <f>PI()*2.3*4.5*PI()*0.6*0.6*2.7/1000</f>
        <v>9.9290194195839149E-2</v>
      </c>
      <c r="E3" s="2" t="s">
        <v>20</v>
      </c>
      <c r="F3" s="18">
        <f>B3*D3</f>
        <v>7.405559134096662</v>
      </c>
      <c r="G3" s="2" t="s">
        <v>44</v>
      </c>
    </row>
    <row r="4" spans="1:7" x14ac:dyDescent="0.3">
      <c r="A4" s="5" t="s">
        <v>4</v>
      </c>
      <c r="B4" s="17">
        <v>7.3245100000000001</v>
      </c>
      <c r="C4" s="2" t="s">
        <v>32</v>
      </c>
      <c r="D4" s="2">
        <f>0.5*10.5*6/60</f>
        <v>0.52500000000000002</v>
      </c>
      <c r="E4" s="2" t="s">
        <v>3</v>
      </c>
      <c r="F4" s="18">
        <f>B4*D4</f>
        <v>3.8453677500000003</v>
      </c>
      <c r="G4" s="2" t="s">
        <v>44</v>
      </c>
    </row>
    <row r="5" spans="1:7" x14ac:dyDescent="0.3">
      <c r="A5" s="5" t="s">
        <v>5</v>
      </c>
      <c r="B5" s="2">
        <f>902.43*0.25</f>
        <v>225.60749999999999</v>
      </c>
      <c r="C5" s="2" t="s">
        <v>6</v>
      </c>
      <c r="D5" s="2">
        <v>12</v>
      </c>
      <c r="E5" s="2" t="s">
        <v>33</v>
      </c>
      <c r="F5" s="18">
        <f>B5*D5</f>
        <v>2707.29</v>
      </c>
      <c r="G5" s="2" t="s">
        <v>35</v>
      </c>
    </row>
    <row r="6" spans="1:7" x14ac:dyDescent="0.3">
      <c r="A6" s="5" t="s">
        <v>65</v>
      </c>
      <c r="B6" s="2">
        <v>399</v>
      </c>
      <c r="C6" s="2" t="s">
        <v>30</v>
      </c>
      <c r="D6" s="2">
        <v>1</v>
      </c>
      <c r="E6" s="2" t="s">
        <v>68</v>
      </c>
      <c r="F6" s="18">
        <v>399</v>
      </c>
      <c r="G6" s="2" t="s">
        <v>35</v>
      </c>
    </row>
    <row r="7" spans="1:7" x14ac:dyDescent="0.3">
      <c r="A7" s="5" t="s">
        <v>15</v>
      </c>
      <c r="B7" s="2">
        <v>42615</v>
      </c>
      <c r="C7" s="2" t="s">
        <v>6</v>
      </c>
      <c r="D7" s="2">
        <v>12</v>
      </c>
      <c r="E7" s="2" t="s">
        <v>68</v>
      </c>
      <c r="F7" s="18">
        <f>B7*D7</f>
        <v>511380</v>
      </c>
      <c r="G7" s="2" t="s">
        <v>35</v>
      </c>
    </row>
    <row r="8" spans="1:7" x14ac:dyDescent="0.3">
      <c r="A8" s="5" t="s">
        <v>54</v>
      </c>
      <c r="B8" s="2">
        <f>7.5*'Var 1 vstupy'!N2*21</f>
        <v>3356.3249999999998</v>
      </c>
      <c r="C8" s="2" t="s">
        <v>6</v>
      </c>
      <c r="D8" s="2">
        <v>12</v>
      </c>
      <c r="E8" s="2" t="s">
        <v>68</v>
      </c>
      <c r="F8" s="18">
        <f>B8*D8</f>
        <v>40275.899999999994</v>
      </c>
      <c r="G8" s="2" t="s">
        <v>35</v>
      </c>
    </row>
    <row r="9" spans="1:7" x14ac:dyDescent="0.3">
      <c r="A9" s="5" t="s">
        <v>18</v>
      </c>
      <c r="B9" s="20">
        <v>0.02</v>
      </c>
    </row>
    <row r="10" spans="1:7" x14ac:dyDescent="0.3">
      <c r="A10" s="5" t="s">
        <v>78</v>
      </c>
      <c r="B10" s="2">
        <v>19200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447BD-7508-41D2-AE5B-655D1977E097}">
  <dimension ref="A1:V19"/>
  <sheetViews>
    <sheetView tabSelected="1" workbookViewId="0">
      <selection activeCell="A18" sqref="A18"/>
    </sheetView>
  </sheetViews>
  <sheetFormatPr defaultRowHeight="14.4" x14ac:dyDescent="0.3"/>
  <cols>
    <col min="1" max="1" width="22.6640625" customWidth="1"/>
    <col min="2" max="2" width="10.33203125" customWidth="1"/>
    <col min="9" max="22" width="10" customWidth="1"/>
  </cols>
  <sheetData>
    <row r="1" spans="1:22" x14ac:dyDescent="0.3">
      <c r="C1" s="5" t="s">
        <v>59</v>
      </c>
      <c r="D1" s="14">
        <v>0.19</v>
      </c>
      <c r="E1" s="5" t="s">
        <v>60</v>
      </c>
      <c r="F1" s="16">
        <v>0.13830000000000001</v>
      </c>
    </row>
    <row r="3" spans="1:22" x14ac:dyDescent="0.3">
      <c r="A3" s="5" t="s">
        <v>22</v>
      </c>
      <c r="B3" s="5">
        <v>0</v>
      </c>
      <c r="C3" s="5">
        <v>1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5">
        <v>14</v>
      </c>
      <c r="Q3" s="5">
        <v>15</v>
      </c>
      <c r="R3" s="5">
        <v>16</v>
      </c>
      <c r="S3" s="5">
        <v>17</v>
      </c>
      <c r="T3" s="5">
        <v>18</v>
      </c>
      <c r="U3" s="5">
        <v>19</v>
      </c>
      <c r="V3" s="5">
        <v>20</v>
      </c>
    </row>
    <row r="4" spans="1:22" x14ac:dyDescent="0.3">
      <c r="A4" s="5" t="s">
        <v>21</v>
      </c>
      <c r="B4" s="15">
        <f>-'Var 2 vstupy'!F2</f>
        <v>-213100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</row>
    <row r="5" spans="1:22" x14ac:dyDescent="0.3">
      <c r="A5" s="5" t="s">
        <v>23</v>
      </c>
      <c r="B5" s="15"/>
      <c r="C5" s="15">
        <f>-('Var 2 vstupy'!$F$3+'Var 2 vstupy'!$F$4)*19200-'Var 2 vstupy'!$F$5</f>
        <v>-218725.08617465594</v>
      </c>
      <c r="D5" s="15">
        <f>-('Var 2 vstupy'!$F$3*POWER(1+$I$18,D3-1)+'Var 2 vstupy'!$F$4*POWER(1+$I$17,D3-1))*19200-'Var 2 vstupy'!$F$5*POWER(1+$I$17,D3-1)</f>
        <v>-226982.49820538869</v>
      </c>
      <c r="E5" s="15">
        <f>-('Var 2 vstupy'!$F$3*POWER(1+$I$18,E3-1)+'Var 2 vstupy'!$F$4*POWER(1+$I$17,E3-1))*19200-'Var 2 vstupy'!$F$5*POWER(1+$I$17,E3-1)</f>
        <v>-235612.59820348813</v>
      </c>
      <c r="F5" s="15">
        <f>-('Var 2 vstupy'!$F$3*POWER(1+$I$18,F3-1)+'Var 2 vstupy'!$F$4*POWER(1+$I$17,F3-1))*19200-'Var 2 vstupy'!$F$5*POWER(1+$I$17,F3-1)</f>
        <v>-244633.41782781002</v>
      </c>
      <c r="G5" s="15">
        <f>-('Var 2 vstupy'!$F$3*POWER(1+$I$18,G3-1)+'Var 2 vstupy'!$F$4*POWER(1+$I$17,G3-1))*19200-'Var 2 vstupy'!$F$5*POWER(1+$I$17,G3-1)</f>
        <v>-254063.88127906015</v>
      </c>
      <c r="H5" s="15">
        <f>-('Var 2 vstupy'!$F$3*POWER(1+$I$18,H3-1)+'Var 2 vstupy'!$F$4*POWER(1+$I$17,H3-1))*19200-'Var 2 vstupy'!$F$5*POWER(1+$I$17,H3-1)</f>
        <v>-263923.84979127068</v>
      </c>
      <c r="I5" s="15">
        <f>-('Var 2 vstupy'!$F$3*POWER(1+$I$18,I3-1)+'Var 2 vstupy'!$F$4*POWER(1+$I$17,I3-1))*19200-'Var 2 vstupy'!$F$5*POWER(1+$I$17,I3-1)</f>
        <v>-274234.16834581562</v>
      </c>
      <c r="J5" s="15">
        <f>-('Var 2 vstupy'!$F$3*POWER(1+$I$18,J3-1)+'Var 2 vstupy'!$F$4*POWER(1+$I$17,J3-1))*19200-'Var 2 vstupy'!$F$5*POWER(1+$I$17,J3-1)</f>
        <v>-285016.71471906255</v>
      </c>
      <c r="K5" s="15">
        <f>-('Var 2 vstupy'!$F$3*POWER(1+$I$18,K3-1)+'Var 2 vstupy'!$F$4*POWER(1+$I$17,K3-1))*19200-'Var 2 vstupy'!$F$5*POWER(1+$I$17,K3-1)</f>
        <v>-296294.45098031109</v>
      </c>
      <c r="L5" s="15">
        <f>-('Var 2 vstupy'!$F$3*POWER(1+$I$18,L3-1)+'Var 2 vstupy'!$F$4*POWER(1+$I$17,L3-1))*19200-'Var 2 vstupy'!$F$5*POWER(1+$I$17,L3-1)</f>
        <v>-308091.47756250162</v>
      </c>
      <c r="M5" s="15">
        <f>-('Var 2 vstupy'!$F$3*POWER(1+$I$18,M3-1)+'Var 2 vstupy'!$F$4*POWER(1+$I$17,M3-1))*19200-'Var 2 vstupy'!$F$5*POWER(1+$I$17,M3-1)</f>
        <v>-320433.09003429918</v>
      </c>
      <c r="N5" s="15">
        <f>-('Var 2 vstupy'!$F$3*POWER(1+$I$18,N3-1)+'Var 2 vstupy'!$F$4*POWER(1+$I$17,N3-1))*19200-'Var 2 vstupy'!$F$5*POWER(1+$I$17,N3-1)</f>
        <v>-333345.83870859188</v>
      </c>
      <c r="O5" s="15">
        <f>-('Var 2 vstupy'!$F$3*POWER(1+$I$18,O3-1)+'Var 2 vstupy'!$F$4*POWER(1+$I$17,O3-1))*19200-'Var 2 vstupy'!$F$5*POWER(1+$I$17,O3-1)</f>
        <v>-346857.59122918767</v>
      </c>
      <c r="P5" s="15">
        <f>-('Var 2 vstupy'!$F$3*POWER(1+$I$18,P3-1)+'Var 2 vstupy'!$F$4*POWER(1+$I$17,P3-1))*19200-'Var 2 vstupy'!$F$5*POWER(1+$I$17,P3-1)</f>
        <v>-360997.59828459087</v>
      </c>
      <c r="Q5" s="15">
        <f>-('Var 2 vstupy'!$F$3*POWER(1+$I$18,Q3-1)+'Var 2 vstupy'!$F$4*POWER(1+$I$17,Q3-1))*19200-'Var 2 vstupy'!$F$5*POWER(1+$I$17,Q3-1)</f>
        <v>-375796.56260517327</v>
      </c>
      <c r="R5" s="15">
        <f>-('Var 2 vstupy'!$F$3*POWER(1+$I$18,R3-1)+'Var 2 vstupy'!$F$4*POWER(1+$I$17,R3-1))*19200-'Var 2 vstupy'!$F$5*POWER(1+$I$17,R3-1)</f>
        <v>-391286.7114078803</v>
      </c>
      <c r="S5" s="15">
        <f>-('Var 2 vstupy'!$F$3*POWER(1+$I$18,S3-1)+'Var 2 vstupy'!$F$4*POWER(1+$I$17,S3-1))*19200-'Var 2 vstupy'!$F$5*POWER(1+$I$17,S3-1)</f>
        <v>-407501.87246080925</v>
      </c>
      <c r="T5" s="15">
        <f>-('Var 2 vstupy'!$F$3*POWER(1+$I$18,T3-1)+'Var 2 vstupy'!$F$4*POWER(1+$I$17,T3-1))*19200-'Var 2 vstupy'!$F$5*POWER(1+$I$17,T3-1)</f>
        <v>-424477.55394862272</v>
      </c>
      <c r="U5" s="15">
        <f>-('Var 2 vstupy'!$F$3*POWER(1+$I$18,U3-1)+'Var 2 vstupy'!$F$4*POWER(1+$I$17,U3-1))*19200-'Var 2 vstupy'!$F$5*POWER(1+$I$17,U3-1)</f>
        <v>-442251.02832879842</v>
      </c>
      <c r="V5" s="15">
        <f>-('Var 2 vstupy'!$F$3*POWER(1+$I$18,V3-1)+'Var 2 vstupy'!$F$4*POWER(1+$I$17,V3-1))*19200-'Var 2 vstupy'!$F$5*POWER(1+$I$17,V3-1)</f>
        <v>-460861.42037822411</v>
      </c>
    </row>
    <row r="6" spans="1:22" x14ac:dyDescent="0.3">
      <c r="A6" s="5" t="s">
        <v>46</v>
      </c>
      <c r="B6" s="15"/>
      <c r="C6" s="15">
        <f>-'Var 2 vstupy'!$F$6</f>
        <v>-399</v>
      </c>
      <c r="D6" s="15">
        <f>-'Var 2 vstupy'!$F$6*POWER(1+$I$19,D3-1)</f>
        <v>-410.97</v>
      </c>
      <c r="E6" s="15">
        <f>-'Var 2 vstupy'!$F$6*POWER(1+$I$19,E3-1)</f>
        <v>-423.29910000000001</v>
      </c>
      <c r="F6" s="15">
        <f>-'Var 2 vstupy'!$F$6*POWER(1+$I$19,F3-1)</f>
        <v>-435.99807299999998</v>
      </c>
      <c r="G6" s="15">
        <f>-'Var 2 vstupy'!$F$6*POWER(1+$I$19,G3-1)</f>
        <v>-449.07801518999997</v>
      </c>
      <c r="H6" s="15">
        <f>-'Var 2 vstupy'!$F$6*POWER(1+$I$19,H3-1)</f>
        <v>-462.55035564569994</v>
      </c>
      <c r="I6" s="15">
        <f>-'Var 2 vstupy'!$F$6*POWER(1+$I$19,I3-1)</f>
        <v>-476.42686631507098</v>
      </c>
      <c r="J6" s="15">
        <f>-'Var 2 vstupy'!$F$6*POWER(1+$I$19,J3-1)</f>
        <v>-490.7196723045231</v>
      </c>
      <c r="K6" s="15">
        <f>-'Var 2 vstupy'!$F$6*POWER(1+$I$19,K3-1)</f>
        <v>-505.44126247365875</v>
      </c>
      <c r="L6" s="15">
        <f>-'Var 2 vstupy'!$F$6*POWER(1+$I$19,L3-1)</f>
        <v>-520.60450034786857</v>
      </c>
      <c r="M6" s="15">
        <f>-'Var 2 vstupy'!$F$6*POWER(1+$I$19,M3-1)</f>
        <v>-536.22263535830461</v>
      </c>
      <c r="N6" s="15">
        <f>-'Var 2 vstupy'!$F$6*POWER(1+$I$19,N3-1)</f>
        <v>-552.30931441905375</v>
      </c>
      <c r="O6" s="15">
        <f>-'Var 2 vstupy'!$F$6*POWER(1+$I$19,O3-1)</f>
        <v>-568.87859385162528</v>
      </c>
      <c r="P6" s="15">
        <f>-'Var 2 vstupy'!$F$6*POWER(1+$I$19,P3-1)</f>
        <v>-585.944951667174</v>
      </c>
      <c r="Q6" s="15">
        <f>-'Var 2 vstupy'!$F$6*POWER(1+$I$19,Q3-1)</f>
        <v>-603.52330021718933</v>
      </c>
      <c r="R6" s="15">
        <f>-'Var 2 vstupy'!$F$6*POWER(1+$I$19,R3-1)</f>
        <v>-621.62899922370502</v>
      </c>
      <c r="S6" s="15">
        <f>-'Var 2 vstupy'!$F$6*POWER(1+$I$19,S3-1)</f>
        <v>-640.27786920041603</v>
      </c>
      <c r="T6" s="15">
        <f>-'Var 2 vstupy'!$F$6*POWER(1+$I$19,T3-1)</f>
        <v>-659.48620527642856</v>
      </c>
      <c r="U6" s="15">
        <f>-'Var 2 vstupy'!$F$6*POWER(1+$I$19,U3-1)</f>
        <v>-679.27079143472145</v>
      </c>
      <c r="V6" s="15">
        <f>-'Var 2 vstupy'!$F$6*POWER(1+$I$19,V3-1)</f>
        <v>-699.648915177763</v>
      </c>
    </row>
    <row r="7" spans="1:22" x14ac:dyDescent="0.3">
      <c r="A7" s="5" t="s">
        <v>47</v>
      </c>
      <c r="B7" s="15"/>
      <c r="C7" s="15">
        <f>-'Var 2 vstupy'!$F$7</f>
        <v>-511380</v>
      </c>
      <c r="D7" s="15">
        <f>-'Var 2 vstupy'!$F$7*POWER(1+$I$16,D3-1)</f>
        <v>-521607.60000000003</v>
      </c>
      <c r="E7" s="15">
        <f>-'Var 2 vstupy'!$F$7*POWER(1+$I$16,E3-1)</f>
        <v>-532039.75199999998</v>
      </c>
      <c r="F7" s="15">
        <f>-'Var 2 vstupy'!$F$7*POWER(1+$I$16,F3-1)</f>
        <v>-542680.54703999998</v>
      </c>
      <c r="G7" s="15">
        <f>-'Var 2 vstupy'!$F$7*POWER(1+$I$16,G3-1)</f>
        <v>-553534.15798080002</v>
      </c>
      <c r="H7" s="15">
        <f>-'Var 2 vstupy'!$F$7*POWER(1+$I$16,H3-1)</f>
        <v>-564604.84114041599</v>
      </c>
      <c r="I7" s="15">
        <f>-'Var 2 vstupy'!$F$7*POWER(1+$I$16,I3-1)</f>
        <v>-575896.93796322437</v>
      </c>
      <c r="J7" s="15">
        <f>-'Var 2 vstupy'!$F$7*POWER(1+$I$16,J3-1)</f>
        <v>-587414.87672248867</v>
      </c>
      <c r="K7" s="15">
        <f>-'Var 2 vstupy'!$F$7*POWER(1+$I$16,K3-1)</f>
        <v>-599163.17425693851</v>
      </c>
      <c r="L7" s="15">
        <f>-'Var 2 vstupy'!$F$7*POWER(1+$I$16,L3-1)</f>
        <v>-611146.43774207728</v>
      </c>
      <c r="M7" s="15">
        <f>-'Var 2 vstupy'!$F$7*POWER(1+$I$16,M3-1)</f>
        <v>-623369.36649691884</v>
      </c>
      <c r="N7" s="15">
        <f>-'Var 2 vstupy'!$F$7*POWER(1+$I$16,N3-1)</f>
        <v>-635836.7538268572</v>
      </c>
      <c r="O7" s="15">
        <f>-'Var 2 vstupy'!$F$7*POWER(1+$I$16,O3-1)</f>
        <v>-648553.48890339443</v>
      </c>
      <c r="P7" s="15">
        <f>-'Var 2 vstupy'!$F$7*POWER(1+$I$16,P3-1)</f>
        <v>-661524.55868146219</v>
      </c>
      <c r="Q7" s="15">
        <f>-'Var 2 vstupy'!$F$7*POWER(1+$I$16,Q3-1)</f>
        <v>-674755.04985509161</v>
      </c>
      <c r="R7" s="15">
        <f>-'Var 2 vstupy'!$F$7*POWER(1+$I$16,R3-1)</f>
        <v>-688250.15085219324</v>
      </c>
      <c r="S7" s="15">
        <f>-'Var 2 vstupy'!$F$7*POWER(1+$I$16,S3-1)</f>
        <v>-702015.15386923717</v>
      </c>
      <c r="T7" s="15">
        <f>-'Var 2 vstupy'!$F$7*POWER(1+$I$16,T3-1)</f>
        <v>-716055.456946622</v>
      </c>
      <c r="U7" s="15">
        <f>-'Var 2 vstupy'!$F$7*POWER(1+$I$16,U3-1)</f>
        <v>-730376.56608555431</v>
      </c>
      <c r="V7" s="15">
        <f>-'Var 2 vstupy'!$F$7*POWER(1+$I$16,V3-1)</f>
        <v>-744984.09740726545</v>
      </c>
    </row>
    <row r="8" spans="1:22" x14ac:dyDescent="0.3">
      <c r="A8" s="5" t="s">
        <v>48</v>
      </c>
      <c r="B8" s="15"/>
      <c r="C8" s="15">
        <f>-'Var 2 vstupy'!$F$8</f>
        <v>-40275.899999999994</v>
      </c>
      <c r="D8" s="15">
        <f>-'Var 2 vstupy'!$F$8*POWER(1+$I$19,D3-1)</f>
        <v>-41484.176999999996</v>
      </c>
      <c r="E8" s="15">
        <f>-'Var 2 vstupy'!$F$8*POWER(1+$I$19,E3-1)</f>
        <v>-42728.702309999993</v>
      </c>
      <c r="F8" s="15">
        <f>-'Var 2 vstupy'!$F$8*POWER(1+$I$19,F3-1)</f>
        <v>-44010.563379299994</v>
      </c>
      <c r="G8" s="15">
        <f>-'Var 2 vstupy'!$F$8*POWER(1+$I$19,G3-1)</f>
        <v>-45330.88028067899</v>
      </c>
      <c r="H8" s="15">
        <f>-'Var 2 vstupy'!$F$8*POWER(1+$I$19,H3-1)</f>
        <v>-46690.806689099358</v>
      </c>
      <c r="I8" s="15">
        <f>-'Var 2 vstupy'!$F$8*POWER(1+$I$19,I3-1)</f>
        <v>-48091.530889772337</v>
      </c>
      <c r="J8" s="15">
        <f>-'Var 2 vstupy'!$F$8*POWER(1+$I$19,J3-1)</f>
        <v>-49534.276816465514</v>
      </c>
      <c r="K8" s="15">
        <f>-'Var 2 vstupy'!$F$8*POWER(1+$I$19,K3-1)</f>
        <v>-51020.305120959471</v>
      </c>
      <c r="L8" s="15">
        <f>-'Var 2 vstupy'!$F$8*POWER(1+$I$19,L3-1)</f>
        <v>-52550.914274588256</v>
      </c>
      <c r="M8" s="15">
        <f>-'Var 2 vstupy'!$F$8*POWER(1+$I$19,M3-1)</f>
        <v>-54127.441702825905</v>
      </c>
      <c r="N8" s="15">
        <f>-'Var 2 vstupy'!$F$8*POWER(1+$I$19,N3-1)</f>
        <v>-55751.264953910686</v>
      </c>
      <c r="O8" s="15">
        <f>-'Var 2 vstupy'!$F$8*POWER(1+$I$19,O3-1)</f>
        <v>-57423.802902527998</v>
      </c>
      <c r="P8" s="15">
        <f>-'Var 2 vstupy'!$F$8*POWER(1+$I$19,P3-1)</f>
        <v>-59146.516989603835</v>
      </c>
      <c r="Q8" s="15">
        <f>-'Var 2 vstupy'!$F$8*POWER(1+$I$19,Q3-1)</f>
        <v>-60920.912499291953</v>
      </c>
      <c r="R8" s="15">
        <f>-'Var 2 vstupy'!$F$8*POWER(1+$I$19,R3-1)</f>
        <v>-62748.539874270718</v>
      </c>
      <c r="S8" s="15">
        <f>-'Var 2 vstupy'!$F$8*POWER(1+$I$19,S3-1)</f>
        <v>-64630.996070498826</v>
      </c>
      <c r="T8" s="15">
        <f>-'Var 2 vstupy'!$F$8*POWER(1+$I$19,T3-1)</f>
        <v>-66569.92595261379</v>
      </c>
      <c r="U8" s="15">
        <f>-'Var 2 vstupy'!$F$8*POWER(1+$I$19,U3-1)</f>
        <v>-68567.02373119221</v>
      </c>
      <c r="V8" s="15">
        <f>-'Var 2 vstupy'!$F$8*POWER(1+$I$19,V3-1)</f>
        <v>-70624.034443127966</v>
      </c>
    </row>
    <row r="9" spans="1:22" x14ac:dyDescent="0.3">
      <c r="A9" s="5" t="s">
        <v>49</v>
      </c>
      <c r="B9" s="15"/>
      <c r="C9" s="15">
        <f>Odpisy!B14</f>
        <v>23441</v>
      </c>
      <c r="D9" s="15">
        <f>Odpisy!B15</f>
        <v>47414.75</v>
      </c>
      <c r="E9" s="15">
        <f>Odpisy!B16</f>
        <v>47414.75</v>
      </c>
      <c r="F9" s="15">
        <f>Odpisy!B17</f>
        <v>47414.75</v>
      </c>
      <c r="G9" s="15">
        <f>Odpisy!B18</f>
        <v>47414.75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</row>
    <row r="10" spans="1:22" x14ac:dyDescent="0.3">
      <c r="A10" s="5" t="s">
        <v>72</v>
      </c>
      <c r="B10" s="15">
        <f>SUM(B4:B8)</f>
        <v>-213100</v>
      </c>
      <c r="C10" s="15">
        <f t="shared" ref="C10:V10" si="0">SUM(C4:C8)</f>
        <v>-770779.98617465596</v>
      </c>
      <c r="D10" s="15">
        <f t="shared" si="0"/>
        <v>-790485.24520538875</v>
      </c>
      <c r="E10" s="15">
        <f t="shared" si="0"/>
        <v>-810804.35161348805</v>
      </c>
      <c r="F10" s="15">
        <f t="shared" si="0"/>
        <v>-831760.52632010996</v>
      </c>
      <c r="G10" s="15">
        <f t="shared" si="0"/>
        <v>-853377.99755572912</v>
      </c>
      <c r="H10" s="15">
        <f t="shared" si="0"/>
        <v>-875682.04797643179</v>
      </c>
      <c r="I10" s="15">
        <f t="shared" si="0"/>
        <v>-898699.0640651274</v>
      </c>
      <c r="J10" s="15">
        <f t="shared" si="0"/>
        <v>-922456.58793032134</v>
      </c>
      <c r="K10" s="15">
        <f t="shared" si="0"/>
        <v>-946983.37162068277</v>
      </c>
      <c r="L10" s="15">
        <f t="shared" si="0"/>
        <v>-972309.43407951505</v>
      </c>
      <c r="M10" s="15">
        <f t="shared" si="0"/>
        <v>-998466.12086940231</v>
      </c>
      <c r="N10" s="15">
        <f t="shared" si="0"/>
        <v>-1025486.1668037788</v>
      </c>
      <c r="O10" s="15">
        <f t="shared" si="0"/>
        <v>-1053403.7616289619</v>
      </c>
      <c r="P10" s="15">
        <f t="shared" si="0"/>
        <v>-1082254.618907324</v>
      </c>
      <c r="Q10" s="15">
        <f t="shared" si="0"/>
        <v>-1112076.048259774</v>
      </c>
      <c r="R10" s="15">
        <f t="shared" si="0"/>
        <v>-1142907.0311335681</v>
      </c>
      <c r="S10" s="15">
        <f t="shared" si="0"/>
        <v>-1174788.3002697455</v>
      </c>
      <c r="T10" s="15">
        <f t="shared" si="0"/>
        <v>-1207762.4230531349</v>
      </c>
      <c r="U10" s="15">
        <f t="shared" si="0"/>
        <v>-1241873.8889369797</v>
      </c>
      <c r="V10" s="15">
        <f t="shared" si="0"/>
        <v>-1277169.2011437952</v>
      </c>
    </row>
    <row r="11" spans="1:22" x14ac:dyDescent="0.3">
      <c r="A11" s="5" t="s">
        <v>59</v>
      </c>
      <c r="B11" s="15"/>
      <c r="C11" s="15">
        <f>-(C10-C9)*$D$1</f>
        <v>150901.98737318465</v>
      </c>
      <c r="D11" s="15">
        <f t="shared" ref="D11:V11" si="1">-(D10-D9)*$D$1</f>
        <v>159200.99908902386</v>
      </c>
      <c r="E11" s="15">
        <f t="shared" si="1"/>
        <v>163061.62930656274</v>
      </c>
      <c r="F11" s="15">
        <f t="shared" si="1"/>
        <v>167043.30250082089</v>
      </c>
      <c r="G11" s="15">
        <f t="shared" si="1"/>
        <v>171150.62203558855</v>
      </c>
      <c r="H11" s="15">
        <f t="shared" si="1"/>
        <v>166379.58911552205</v>
      </c>
      <c r="I11" s="15">
        <f t="shared" si="1"/>
        <v>170752.8221723742</v>
      </c>
      <c r="J11" s="15">
        <f t="shared" si="1"/>
        <v>175266.75170676105</v>
      </c>
      <c r="K11" s="15">
        <f t="shared" si="1"/>
        <v>179926.84060792974</v>
      </c>
      <c r="L11" s="15">
        <f t="shared" si="1"/>
        <v>184738.79247510785</v>
      </c>
      <c r="M11" s="15">
        <f t="shared" si="1"/>
        <v>189708.56296518643</v>
      </c>
      <c r="N11" s="15">
        <f t="shared" si="1"/>
        <v>194842.37169271798</v>
      </c>
      <c r="O11" s="15">
        <f t="shared" si="1"/>
        <v>200146.71470950276</v>
      </c>
      <c r="P11" s="15">
        <f t="shared" si="1"/>
        <v>205628.37759239157</v>
      </c>
      <c r="Q11" s="15">
        <f t="shared" si="1"/>
        <v>211294.44916935707</v>
      </c>
      <c r="R11" s="15">
        <f t="shared" si="1"/>
        <v>217152.33591537795</v>
      </c>
      <c r="S11" s="15">
        <f t="shared" si="1"/>
        <v>223209.77705125164</v>
      </c>
      <c r="T11" s="15">
        <f t="shared" si="1"/>
        <v>229474.86038009563</v>
      </c>
      <c r="U11" s="15">
        <f t="shared" si="1"/>
        <v>235956.03889802613</v>
      </c>
      <c r="V11" s="15">
        <f t="shared" si="1"/>
        <v>242662.14821732108</v>
      </c>
    </row>
    <row r="12" spans="1:22" x14ac:dyDescent="0.3">
      <c r="A12" s="5" t="s">
        <v>71</v>
      </c>
      <c r="B12" s="15">
        <f>B10-B11</f>
        <v>-213100</v>
      </c>
      <c r="C12" s="15">
        <f>C10+C11</f>
        <v>-619877.99880147132</v>
      </c>
      <c r="D12" s="15">
        <f t="shared" ref="D12:V12" si="2">D10+D11</f>
        <v>-631284.24611636484</v>
      </c>
      <c r="E12" s="15">
        <f t="shared" si="2"/>
        <v>-647742.72230692534</v>
      </c>
      <c r="F12" s="15">
        <f t="shared" si="2"/>
        <v>-664717.22381928912</v>
      </c>
      <c r="G12" s="15">
        <f t="shared" si="2"/>
        <v>-682227.37552014063</v>
      </c>
      <c r="H12" s="15">
        <f t="shared" si="2"/>
        <v>-709302.4588609098</v>
      </c>
      <c r="I12" s="15">
        <f t="shared" si="2"/>
        <v>-727946.24189275317</v>
      </c>
      <c r="J12" s="15">
        <f t="shared" si="2"/>
        <v>-747189.83622356027</v>
      </c>
      <c r="K12" s="15">
        <f t="shared" si="2"/>
        <v>-767056.53101275302</v>
      </c>
      <c r="L12" s="15">
        <f t="shared" si="2"/>
        <v>-787570.64160440722</v>
      </c>
      <c r="M12" s="15">
        <f t="shared" si="2"/>
        <v>-808757.55790421588</v>
      </c>
      <c r="N12" s="15">
        <f t="shared" si="2"/>
        <v>-830643.79511106084</v>
      </c>
      <c r="O12" s="15">
        <f t="shared" si="2"/>
        <v>-853257.04691945913</v>
      </c>
      <c r="P12" s="15">
        <f t="shared" si="2"/>
        <v>-876626.24131493247</v>
      </c>
      <c r="Q12" s="15">
        <f t="shared" si="2"/>
        <v>-900781.59909041692</v>
      </c>
      <c r="R12" s="15">
        <f t="shared" si="2"/>
        <v>-925754.6952181902</v>
      </c>
      <c r="S12" s="15">
        <f t="shared" si="2"/>
        <v>-951578.52321849391</v>
      </c>
      <c r="T12" s="15">
        <f t="shared" si="2"/>
        <v>-978287.56267303927</v>
      </c>
      <c r="U12" s="15">
        <f t="shared" si="2"/>
        <v>-1005917.8500389536</v>
      </c>
      <c r="V12" s="15">
        <f t="shared" si="2"/>
        <v>-1034507.052926474</v>
      </c>
    </row>
    <row r="13" spans="1:22" x14ac:dyDescent="0.3">
      <c r="A13" s="5" t="s">
        <v>70</v>
      </c>
      <c r="B13" s="15">
        <f>(B10-B11+B9)/POWER((1+$F$1),B3)</f>
        <v>-213100</v>
      </c>
      <c r="C13" s="15">
        <f>(C10+C11)/POWER((1+$F$1),C3)</f>
        <v>-544564.7006953099</v>
      </c>
      <c r="D13" s="15">
        <f t="shared" ref="D13:V13" si="3">(D10+D11)/POWER((1+$F$1),D3)</f>
        <v>-487204.71187903237</v>
      </c>
      <c r="E13" s="15">
        <f t="shared" si="3"/>
        <v>-439169.66541324393</v>
      </c>
      <c r="F13" s="15">
        <f t="shared" si="3"/>
        <v>-395922.32280685473</v>
      </c>
      <c r="G13" s="15">
        <f t="shared" si="3"/>
        <v>-356981.29688353854</v>
      </c>
      <c r="H13" s="15">
        <f t="shared" si="3"/>
        <v>-326055.13952452247</v>
      </c>
      <c r="I13" s="15">
        <f t="shared" si="3"/>
        <v>-293969.42121983157</v>
      </c>
      <c r="J13" s="15">
        <f t="shared" si="3"/>
        <v>-265080.06529591628</v>
      </c>
      <c r="K13" s="15">
        <f t="shared" si="3"/>
        <v>-239065.41336424745</v>
      </c>
      <c r="L13" s="15">
        <f t="shared" si="3"/>
        <v>-215636.44331222857</v>
      </c>
      <c r="M13" s="15">
        <f t="shared" si="3"/>
        <v>-194533.43607011958</v>
      </c>
      <c r="N13" s="15">
        <f t="shared" si="3"/>
        <v>-175522.98459718662</v>
      </c>
      <c r="O13" s="15">
        <f t="shared" si="3"/>
        <v>-158395.30980587407</v>
      </c>
      <c r="P13" s="15">
        <f t="shared" si="3"/>
        <v>-142961.85179207506</v>
      </c>
      <c r="Q13" s="15">
        <f t="shared" si="3"/>
        <v>-129053.10801041102</v>
      </c>
      <c r="R13" s="15">
        <f t="shared" si="3"/>
        <v>-116516.69296514764</v>
      </c>
      <c r="S13" s="15">
        <f t="shared" si="3"/>
        <v>-105215.59661521432</v>
      </c>
      <c r="T13" s="15">
        <f t="shared" si="3"/>
        <v>-95026.621047313238</v>
      </c>
      <c r="U13" s="15">
        <f t="shared" si="3"/>
        <v>-85838.977082592435</v>
      </c>
      <c r="V13" s="15">
        <f t="shared" si="3"/>
        <v>-77553.024375153982</v>
      </c>
    </row>
    <row r="14" spans="1:22" x14ac:dyDescent="0.3"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x14ac:dyDescent="0.3">
      <c r="A15" s="5" t="s">
        <v>61</v>
      </c>
      <c r="B15" s="15">
        <f>SUM($B$13:$V$13)</f>
        <v>-5057366.7827558126</v>
      </c>
      <c r="C15" s="4"/>
      <c r="D15" s="4"/>
      <c r="E15" s="4"/>
      <c r="F15" s="4"/>
      <c r="G15" s="4"/>
      <c r="H15" s="25" t="s">
        <v>73</v>
      </c>
      <c r="I15" s="25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x14ac:dyDescent="0.3">
      <c r="A16" s="5" t="s">
        <v>62</v>
      </c>
      <c r="B16" s="15">
        <f>PMT(F1,20,1,,)*B15</f>
        <v>756117.01766358747</v>
      </c>
      <c r="C16" s="4"/>
      <c r="D16" s="4"/>
      <c r="E16" s="4"/>
      <c r="F16" s="4"/>
      <c r="G16" s="4"/>
      <c r="H16" s="6" t="s">
        <v>47</v>
      </c>
      <c r="I16" s="16">
        <v>0.02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9" x14ac:dyDescent="0.3">
      <c r="A17" s="5" t="s">
        <v>63</v>
      </c>
      <c r="B17" s="15">
        <f>19200*0.98</f>
        <v>18816</v>
      </c>
      <c r="H17" s="5" t="s">
        <v>74</v>
      </c>
      <c r="I17" s="16">
        <v>1.4999999999999999E-2</v>
      </c>
    </row>
    <row r="18" spans="1:9" x14ac:dyDescent="0.3">
      <c r="A18" s="5" t="s">
        <v>92</v>
      </c>
      <c r="B18" s="17">
        <f>B16/B17</f>
        <v>40.184790479569912</v>
      </c>
      <c r="H18" s="5" t="s">
        <v>75</v>
      </c>
      <c r="I18" s="16">
        <v>0.05</v>
      </c>
    </row>
    <row r="19" spans="1:9" x14ac:dyDescent="0.3">
      <c r="H19" s="5" t="s">
        <v>76</v>
      </c>
      <c r="I19" s="16">
        <v>0.03</v>
      </c>
    </row>
  </sheetData>
  <mergeCells count="1">
    <mergeCell ref="H15:I15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44384-FA88-4D2B-ACFD-321E810D2FDC}">
  <dimension ref="A2:T78"/>
  <sheetViews>
    <sheetView topLeftCell="A6" zoomScaleNormal="100" workbookViewId="0">
      <selection activeCell="L27" sqref="L27"/>
    </sheetView>
  </sheetViews>
  <sheetFormatPr defaultRowHeight="14.4" x14ac:dyDescent="0.3"/>
  <sheetData>
    <row r="2" spans="2:20" x14ac:dyDescent="0.3">
      <c r="B2" s="27" t="s">
        <v>80</v>
      </c>
      <c r="C2" s="27"/>
      <c r="D2" s="27"/>
      <c r="F2" s="27" t="s">
        <v>81</v>
      </c>
      <c r="G2" s="27"/>
      <c r="H2" s="27"/>
      <c r="J2" s="27" t="s">
        <v>82</v>
      </c>
      <c r="K2" s="27"/>
      <c r="L2" s="27"/>
      <c r="N2" s="27" t="s">
        <v>83</v>
      </c>
      <c r="O2" s="27"/>
      <c r="P2" s="27"/>
      <c r="R2" s="27" t="s">
        <v>84</v>
      </c>
      <c r="S2" s="27"/>
      <c r="T2" s="27"/>
    </row>
    <row r="3" spans="2:20" x14ac:dyDescent="0.3">
      <c r="B3" s="5" t="s">
        <v>89</v>
      </c>
      <c r="C3" s="5" t="s">
        <v>91</v>
      </c>
      <c r="D3" s="5" t="s">
        <v>87</v>
      </c>
      <c r="F3" s="5" t="s">
        <v>89</v>
      </c>
      <c r="G3" s="5" t="s">
        <v>91</v>
      </c>
      <c r="H3" s="5" t="s">
        <v>87</v>
      </c>
      <c r="J3" s="5" t="s">
        <v>85</v>
      </c>
      <c r="K3" s="5" t="s">
        <v>91</v>
      </c>
      <c r="L3" s="5" t="s">
        <v>87</v>
      </c>
      <c r="N3" s="5" t="s">
        <v>85</v>
      </c>
      <c r="O3" s="5" t="s">
        <v>91</v>
      </c>
      <c r="P3" s="5" t="s">
        <v>87</v>
      </c>
      <c r="R3" s="5" t="s">
        <v>85</v>
      </c>
      <c r="S3" s="5" t="s">
        <v>91</v>
      </c>
      <c r="T3" s="5" t="s">
        <v>87</v>
      </c>
    </row>
    <row r="4" spans="2:20" x14ac:dyDescent="0.3">
      <c r="B4" s="21">
        <v>-0.2</v>
      </c>
      <c r="C4" s="2">
        <f>266.38+(0.76)</f>
        <v>267.14</v>
      </c>
      <c r="D4" s="2">
        <v>39.89</v>
      </c>
      <c r="F4" s="21">
        <v>-0.04</v>
      </c>
      <c r="G4" s="2">
        <v>269.2</v>
      </c>
      <c r="H4" s="2">
        <v>39.71</v>
      </c>
      <c r="J4" s="21">
        <v>0</v>
      </c>
      <c r="K4" s="2">
        <v>242.59</v>
      </c>
      <c r="L4" s="2">
        <v>37.479999999999997</v>
      </c>
      <c r="N4" s="22">
        <v>-1.4999999999999999E-2</v>
      </c>
      <c r="O4" s="2">
        <v>269.24</v>
      </c>
      <c r="P4" s="2">
        <v>39.630000000000003</v>
      </c>
      <c r="R4" s="21">
        <v>-0.16</v>
      </c>
      <c r="S4" s="2">
        <v>269.33999999999997</v>
      </c>
      <c r="T4" s="2">
        <v>34.94</v>
      </c>
    </row>
    <row r="5" spans="2:20" x14ac:dyDescent="0.3">
      <c r="B5" s="21">
        <v>-0.16</v>
      </c>
      <c r="C5" s="2">
        <f>266.83+(0.76)</f>
        <v>267.58999999999997</v>
      </c>
      <c r="D5" s="2">
        <v>39.950000000000003</v>
      </c>
      <c r="F5" s="21">
        <v>-0.02</v>
      </c>
      <c r="G5" s="2">
        <v>269.3</v>
      </c>
      <c r="H5" s="2">
        <v>39.950000000000003</v>
      </c>
      <c r="J5" s="21">
        <v>0.02</v>
      </c>
      <c r="K5" s="2">
        <v>270.39999999999998</v>
      </c>
      <c r="L5" s="2">
        <v>40.18</v>
      </c>
      <c r="N5" s="22">
        <v>0</v>
      </c>
      <c r="O5" s="2">
        <v>269.32</v>
      </c>
      <c r="P5" s="2">
        <v>39.89</v>
      </c>
      <c r="R5" s="21">
        <v>-0.12</v>
      </c>
      <c r="S5" s="2">
        <v>269.35000000000002</v>
      </c>
      <c r="T5" s="2">
        <v>35.4</v>
      </c>
    </row>
    <row r="6" spans="2:20" x14ac:dyDescent="0.3">
      <c r="B6" s="21">
        <v>-0.12</v>
      </c>
      <c r="C6" s="2">
        <f>267.29+(0.75)</f>
        <v>268.04000000000002</v>
      </c>
      <c r="D6" s="2">
        <v>40.01</v>
      </c>
      <c r="F6" s="21">
        <v>0</v>
      </c>
      <c r="G6" s="2">
        <v>269.39999999999998</v>
      </c>
      <c r="H6" s="2">
        <v>40.18</v>
      </c>
      <c r="J6" s="21">
        <v>0.04</v>
      </c>
      <c r="K6" s="2">
        <v>301.67</v>
      </c>
      <c r="L6" s="2">
        <v>43.44</v>
      </c>
      <c r="N6" s="22">
        <v>1.4999999999999999E-2</v>
      </c>
      <c r="O6" s="2">
        <v>268.39999999999998</v>
      </c>
      <c r="P6" s="2">
        <v>40.18</v>
      </c>
      <c r="R6" s="21">
        <v>-0.08</v>
      </c>
      <c r="S6" s="2">
        <v>269.35000000000002</v>
      </c>
      <c r="T6" s="2">
        <v>36.01</v>
      </c>
    </row>
    <row r="7" spans="2:20" x14ac:dyDescent="0.3">
      <c r="B7" s="21">
        <v>-0.08</v>
      </c>
      <c r="C7" s="2">
        <f>267.74+(0.75)</f>
        <v>268.49</v>
      </c>
      <c r="D7" s="2">
        <v>40.07</v>
      </c>
      <c r="F7" s="21">
        <v>0.04</v>
      </c>
      <c r="G7" s="2">
        <v>269.60000000000002</v>
      </c>
      <c r="H7" s="2">
        <v>40.65</v>
      </c>
      <c r="J7" s="21">
        <v>0.06</v>
      </c>
      <c r="K7" s="2">
        <v>340.73</v>
      </c>
      <c r="L7" s="2">
        <v>47.39</v>
      </c>
      <c r="N7" s="22">
        <v>0.03</v>
      </c>
      <c r="O7" s="2">
        <v>269.5</v>
      </c>
      <c r="P7" s="2">
        <v>40.53</v>
      </c>
      <c r="R7" s="21">
        <v>-0.04</v>
      </c>
      <c r="S7" s="2">
        <v>269.36</v>
      </c>
      <c r="T7" s="2">
        <v>36.839999999999996</v>
      </c>
    </row>
    <row r="8" spans="2:20" x14ac:dyDescent="0.3">
      <c r="B8" s="21">
        <v>-0.04</v>
      </c>
      <c r="C8" s="2">
        <f>268.19+(0.75)</f>
        <v>268.94</v>
      </c>
      <c r="D8" s="2">
        <v>40.130000000000003</v>
      </c>
      <c r="F8" s="21">
        <v>0.08</v>
      </c>
      <c r="G8" s="2">
        <v>269.8</v>
      </c>
      <c r="H8" s="2">
        <v>41.129999999999995</v>
      </c>
      <c r="J8" s="21">
        <v>0.08</v>
      </c>
      <c r="K8" s="2">
        <v>388.25</v>
      </c>
      <c r="L8" s="2">
        <v>52.19</v>
      </c>
      <c r="N8" s="22">
        <v>4.4999999999999998E-2</v>
      </c>
      <c r="O8" s="2">
        <v>269.61</v>
      </c>
      <c r="P8" s="2">
        <v>40.92</v>
      </c>
      <c r="R8" s="21">
        <v>0</v>
      </c>
      <c r="S8" s="2">
        <v>269.37</v>
      </c>
      <c r="T8" s="2">
        <v>38</v>
      </c>
    </row>
    <row r="9" spans="2:20" x14ac:dyDescent="0.3">
      <c r="B9" s="21">
        <v>0</v>
      </c>
      <c r="C9" s="2">
        <f>268.65+(0.75)</f>
        <v>269.39999999999998</v>
      </c>
      <c r="D9" s="2">
        <v>40.18</v>
      </c>
      <c r="F9" s="21">
        <v>0.12</v>
      </c>
      <c r="G9" s="2">
        <v>270</v>
      </c>
      <c r="H9" s="2">
        <v>41.599999999999994</v>
      </c>
      <c r="K9">
        <f>K8/K5</f>
        <v>1.4358357988165682</v>
      </c>
      <c r="L9">
        <f>L8/L5</f>
        <v>1.2989049278247884</v>
      </c>
      <c r="N9" s="22">
        <v>0.06</v>
      </c>
      <c r="O9" s="2">
        <v>268.73</v>
      </c>
      <c r="P9" s="2">
        <v>41.2</v>
      </c>
      <c r="R9" s="21">
        <v>0.04</v>
      </c>
      <c r="S9" s="2">
        <v>269.39</v>
      </c>
      <c r="T9" s="2">
        <v>39.659999999999997</v>
      </c>
    </row>
    <row r="10" spans="2:20" x14ac:dyDescent="0.3">
      <c r="B10" s="21">
        <v>0.04</v>
      </c>
      <c r="C10" s="2">
        <f>269.1+(0.75)</f>
        <v>269.85000000000002</v>
      </c>
      <c r="D10" s="2">
        <v>40.24</v>
      </c>
      <c r="F10" s="21">
        <v>0.16</v>
      </c>
      <c r="G10" s="2">
        <v>270.2</v>
      </c>
      <c r="H10" s="2">
        <v>42.07</v>
      </c>
      <c r="O10">
        <f>O9/O6</f>
        <v>1.0012295081967215</v>
      </c>
      <c r="P10">
        <f>P9/P6</f>
        <v>1.0253857640617223</v>
      </c>
      <c r="R10" s="21">
        <v>0.08</v>
      </c>
      <c r="S10" s="2">
        <v>269.42</v>
      </c>
      <c r="T10" s="2">
        <v>42.089999999999996</v>
      </c>
    </row>
    <row r="11" spans="2:20" x14ac:dyDescent="0.3">
      <c r="B11" s="21">
        <v>0.08</v>
      </c>
      <c r="C11" s="2">
        <f>269.55+(0.75)</f>
        <v>270.3</v>
      </c>
      <c r="D11" s="2">
        <v>40.299999999999997</v>
      </c>
      <c r="F11" s="21">
        <v>0.2</v>
      </c>
      <c r="G11" s="2">
        <v>270.39</v>
      </c>
      <c r="H11" s="2">
        <v>42.55</v>
      </c>
      <c r="R11" s="21">
        <v>0.12</v>
      </c>
      <c r="S11" s="2">
        <v>269.45999999999998</v>
      </c>
      <c r="T11" s="2">
        <v>45.72</v>
      </c>
    </row>
    <row r="12" spans="2:20" x14ac:dyDescent="0.3">
      <c r="B12" s="21">
        <v>0.12</v>
      </c>
      <c r="C12" s="2">
        <f>270.01+(0.75)</f>
        <v>270.76</v>
      </c>
      <c r="D12" s="2">
        <v>40.36</v>
      </c>
      <c r="F12" s="21">
        <v>0.24</v>
      </c>
      <c r="G12" s="2">
        <v>270.58999999999997</v>
      </c>
      <c r="H12" s="2">
        <v>43.019999999999996</v>
      </c>
      <c r="R12" s="21">
        <v>0.16</v>
      </c>
      <c r="S12" s="2">
        <v>269.52</v>
      </c>
      <c r="T12" s="2">
        <v>51.23</v>
      </c>
    </row>
    <row r="13" spans="2:20" x14ac:dyDescent="0.3">
      <c r="B13" s="21">
        <v>0.16</v>
      </c>
      <c r="C13" s="2">
        <f>270.46+(0.75)</f>
        <v>271.20999999999998</v>
      </c>
      <c r="D13" s="2">
        <v>40.42</v>
      </c>
      <c r="F13" s="21">
        <v>0.28000000000000003</v>
      </c>
      <c r="G13" s="2">
        <v>270.79000000000002</v>
      </c>
      <c r="H13" s="2">
        <v>43.5</v>
      </c>
      <c r="S13">
        <f>S12/'Var 1'!B18</f>
        <v>1.0004399307159788</v>
      </c>
      <c r="T13">
        <f>T12/'Var 2'!B18</f>
        <v>1.274860448159995</v>
      </c>
    </row>
    <row r="14" spans="2:20" x14ac:dyDescent="0.3">
      <c r="B14" s="21">
        <v>0.2</v>
      </c>
      <c r="C14" s="2">
        <f>270.91+(0.76)</f>
        <v>271.67</v>
      </c>
      <c r="D14" s="2">
        <v>40.479999999999997</v>
      </c>
      <c r="F14" s="21">
        <v>0.32</v>
      </c>
      <c r="G14" s="2">
        <v>270.99</v>
      </c>
      <c r="H14" s="2">
        <v>43.98</v>
      </c>
    </row>
    <row r="15" spans="2:20" x14ac:dyDescent="0.3">
      <c r="C15">
        <f>C14/C9</f>
        <v>1.0084261321455086</v>
      </c>
      <c r="D15">
        <f>D14/D9</f>
        <v>1.0074664011946242</v>
      </c>
      <c r="G15">
        <f>G14/G6</f>
        <v>1.0059020044543432</v>
      </c>
      <c r="H15">
        <f>H14/H6</f>
        <v>1.0945744151319063</v>
      </c>
      <c r="J15" s="27" t="s">
        <v>60</v>
      </c>
      <c r="K15" s="27"/>
      <c r="L15" s="27"/>
    </row>
    <row r="16" spans="2:20" x14ac:dyDescent="0.3">
      <c r="B16" s="27" t="s">
        <v>86</v>
      </c>
      <c r="C16" s="27"/>
      <c r="D16" s="27"/>
      <c r="F16" s="1"/>
      <c r="J16" s="5" t="s">
        <v>90</v>
      </c>
      <c r="K16" s="5" t="s">
        <v>91</v>
      </c>
      <c r="L16" s="5" t="s">
        <v>87</v>
      </c>
    </row>
    <row r="17" spans="2:12" x14ac:dyDescent="0.3">
      <c r="B17" s="5" t="s">
        <v>85</v>
      </c>
      <c r="C17" s="5" t="s">
        <v>91</v>
      </c>
      <c r="D17" s="5" t="s">
        <v>87</v>
      </c>
      <c r="J17" s="21">
        <v>0.06</v>
      </c>
      <c r="K17" s="2">
        <v>275.43</v>
      </c>
      <c r="L17" s="2">
        <v>41.72</v>
      </c>
    </row>
    <row r="18" spans="2:12" x14ac:dyDescent="0.3">
      <c r="B18" s="21">
        <v>-0.04</v>
      </c>
      <c r="C18" s="2">
        <v>265.48</v>
      </c>
      <c r="D18" s="2">
        <v>39.51</v>
      </c>
      <c r="J18" s="21">
        <v>0.08</v>
      </c>
      <c r="K18" s="2">
        <v>273.43</v>
      </c>
      <c r="L18" s="2">
        <v>41.24</v>
      </c>
    </row>
    <row r="19" spans="2:12" x14ac:dyDescent="0.3">
      <c r="B19" s="21">
        <v>-0.02</v>
      </c>
      <c r="C19" s="2">
        <v>266.36</v>
      </c>
      <c r="D19" s="2">
        <v>39.659999999999997</v>
      </c>
      <c r="J19" s="21">
        <v>0.1</v>
      </c>
      <c r="K19" s="2">
        <v>271.75</v>
      </c>
      <c r="L19" s="2">
        <v>40.82</v>
      </c>
    </row>
    <row r="20" spans="2:12" x14ac:dyDescent="0.3">
      <c r="B20" s="21">
        <v>0</v>
      </c>
      <c r="C20" s="2">
        <v>267.42</v>
      </c>
      <c r="D20" s="2">
        <v>39.839999999999996</v>
      </c>
      <c r="J20" s="21">
        <v>0.12</v>
      </c>
      <c r="K20" s="2">
        <v>270.39</v>
      </c>
      <c r="L20" s="2">
        <v>40.46</v>
      </c>
    </row>
    <row r="21" spans="2:12" x14ac:dyDescent="0.3">
      <c r="B21" s="21">
        <v>0.02</v>
      </c>
      <c r="C21" s="2">
        <v>268.67</v>
      </c>
      <c r="D21" s="2">
        <v>40.049999999999997</v>
      </c>
      <c r="J21" s="21">
        <v>0.14000000000000001</v>
      </c>
      <c r="K21" s="2">
        <v>269.32</v>
      </c>
      <c r="L21" s="2">
        <v>40.159999999999997</v>
      </c>
    </row>
    <row r="22" spans="2:12" x14ac:dyDescent="0.3">
      <c r="B22" s="21">
        <v>0.04</v>
      </c>
      <c r="C22" s="2">
        <v>270.19</v>
      </c>
      <c r="D22" s="2">
        <v>40.309999999999995</v>
      </c>
      <c r="J22" s="21">
        <v>0.16</v>
      </c>
      <c r="K22" s="2">
        <v>268.55</v>
      </c>
      <c r="L22" s="2">
        <v>39.909999999999997</v>
      </c>
    </row>
    <row r="23" spans="2:12" x14ac:dyDescent="0.3">
      <c r="B23" s="21">
        <v>0.06</v>
      </c>
      <c r="C23" s="2">
        <v>272.02999999999997</v>
      </c>
      <c r="D23" s="2">
        <v>40.629999999999995</v>
      </c>
      <c r="J23" s="21">
        <v>0.18</v>
      </c>
      <c r="K23" s="2">
        <v>268.02999999999997</v>
      </c>
      <c r="L23" s="2">
        <v>39.71</v>
      </c>
    </row>
    <row r="24" spans="2:12" x14ac:dyDescent="0.3">
      <c r="B24" s="21">
        <v>0.08</v>
      </c>
      <c r="C24" s="2">
        <v>274.26</v>
      </c>
      <c r="D24" s="2">
        <v>41.01</v>
      </c>
      <c r="J24" s="21">
        <v>0.2</v>
      </c>
      <c r="K24" s="2">
        <v>267.76</v>
      </c>
      <c r="L24" s="2">
        <v>39.56</v>
      </c>
    </row>
    <row r="25" spans="2:12" x14ac:dyDescent="0.3">
      <c r="B25" s="21">
        <v>0.1</v>
      </c>
      <c r="C25" s="2">
        <v>276.99</v>
      </c>
      <c r="D25" s="2">
        <v>41.48</v>
      </c>
      <c r="J25" s="1"/>
    </row>
    <row r="26" spans="2:12" x14ac:dyDescent="0.3">
      <c r="B26" s="21">
        <v>0.12</v>
      </c>
      <c r="C26" s="2">
        <v>280.33999999999997</v>
      </c>
      <c r="D26" s="2">
        <v>42.06</v>
      </c>
      <c r="K26">
        <f>K24/K21</f>
        <v>0.9942076340412892</v>
      </c>
      <c r="L26">
        <f>L24/L21</f>
        <v>0.98505976095617542</v>
      </c>
    </row>
    <row r="27" spans="2:12" x14ac:dyDescent="0.3">
      <c r="C27">
        <f>C26/'Var 1'!B18</f>
        <v>1.0406030356816469</v>
      </c>
      <c r="D27">
        <f>D26/'Var 2'!B18</f>
        <v>1.0466646583956547</v>
      </c>
    </row>
    <row r="61" spans="1:17" x14ac:dyDescent="0.3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</row>
    <row r="62" spans="1:17" x14ac:dyDescent="0.3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</row>
    <row r="63" spans="1:17" x14ac:dyDescent="0.3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</row>
    <row r="64" spans="1:17" x14ac:dyDescent="0.3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</row>
    <row r="65" spans="1:17" x14ac:dyDescent="0.3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</row>
    <row r="66" spans="1:17" x14ac:dyDescent="0.3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</row>
    <row r="67" spans="1:17" x14ac:dyDescent="0.3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</row>
    <row r="68" spans="1:17" x14ac:dyDescent="0.3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</row>
    <row r="69" spans="1:17" x14ac:dyDescent="0.3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</row>
    <row r="70" spans="1:17" x14ac:dyDescent="0.3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</row>
    <row r="71" spans="1:17" x14ac:dyDescent="0.3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</row>
    <row r="72" spans="1:17" x14ac:dyDescent="0.3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</row>
    <row r="73" spans="1:17" x14ac:dyDescent="0.3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</row>
    <row r="74" spans="1:17" x14ac:dyDescent="0.3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</row>
    <row r="75" spans="1:17" x14ac:dyDescent="0.3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</row>
    <row r="76" spans="1:17" x14ac:dyDescent="0.3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</row>
    <row r="77" spans="1:17" x14ac:dyDescent="0.3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</row>
    <row r="78" spans="1:17" x14ac:dyDescent="0.3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</row>
  </sheetData>
  <mergeCells count="8">
    <mergeCell ref="A61:Q78"/>
    <mergeCell ref="N2:P2"/>
    <mergeCell ref="R2:T2"/>
    <mergeCell ref="B16:D16"/>
    <mergeCell ref="J15:L15"/>
    <mergeCell ref="B2:D2"/>
    <mergeCell ref="F2:H2"/>
    <mergeCell ref="J2:L2"/>
  </mergeCells>
  <pageMargins left="0.7" right="0.7" top="0.78740157499999996" bottom="0.78740157499999996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69F66-B78B-45CA-A9B1-8CA3810500E2}">
  <dimension ref="A2:K18"/>
  <sheetViews>
    <sheetView workbookViewId="0">
      <selection activeCell="F19" sqref="F19"/>
    </sheetView>
  </sheetViews>
  <sheetFormatPr defaultRowHeight="14.4" x14ac:dyDescent="0.3"/>
  <cols>
    <col min="1" max="1" width="8.109375" customWidth="1"/>
    <col min="2" max="2" width="11.33203125" customWidth="1"/>
    <col min="3" max="3" width="13.6640625" customWidth="1"/>
    <col min="5" max="5" width="8.109375" customWidth="1"/>
    <col min="6" max="6" width="11.33203125" customWidth="1"/>
    <col min="7" max="7" width="13.6640625" customWidth="1"/>
    <col min="9" max="9" width="8.109375" customWidth="1"/>
    <col min="10" max="10" width="11.33203125" customWidth="1"/>
    <col min="11" max="11" width="13.6640625" customWidth="1"/>
  </cols>
  <sheetData>
    <row r="2" spans="1:11" x14ac:dyDescent="0.3">
      <c r="A2" s="23" t="s">
        <v>50</v>
      </c>
      <c r="B2" s="23"/>
      <c r="C2" s="23"/>
      <c r="D2" s="3"/>
      <c r="E2" s="5" t="s">
        <v>55</v>
      </c>
      <c r="F2" s="5"/>
      <c r="G2" s="5"/>
      <c r="I2" s="27" t="s">
        <v>56</v>
      </c>
      <c r="J2" s="27"/>
      <c r="K2" s="27"/>
    </row>
    <row r="3" spans="1:11" x14ac:dyDescent="0.3">
      <c r="A3" s="5" t="s">
        <v>22</v>
      </c>
      <c r="B3" s="5" t="s">
        <v>51</v>
      </c>
      <c r="C3" s="5" t="s">
        <v>52</v>
      </c>
      <c r="E3" s="5" t="s">
        <v>22</v>
      </c>
      <c r="F3" s="5" t="s">
        <v>51</v>
      </c>
      <c r="G3" s="5" t="s">
        <v>52</v>
      </c>
      <c r="I3" s="5" t="s">
        <v>22</v>
      </c>
      <c r="J3" s="5" t="s">
        <v>51</v>
      </c>
      <c r="K3" s="5" t="s">
        <v>52</v>
      </c>
    </row>
    <row r="4" spans="1:11" x14ac:dyDescent="0.3">
      <c r="A4" s="5">
        <v>0</v>
      </c>
      <c r="B4" s="24"/>
      <c r="C4" s="24">
        <f>'Var 1 vstupy'!F2</f>
        <v>47995</v>
      </c>
      <c r="E4" s="5">
        <v>0</v>
      </c>
      <c r="F4" s="24"/>
      <c r="G4" s="24">
        <f>'Var 1 vstupy'!F3</f>
        <v>16995</v>
      </c>
      <c r="I4" s="5">
        <v>0</v>
      </c>
      <c r="J4" s="24"/>
      <c r="K4" s="24">
        <f>'Var 1 vstupy'!F4</f>
        <v>100000</v>
      </c>
    </row>
    <row r="5" spans="1:11" x14ac:dyDescent="0.3">
      <c r="A5" s="5">
        <v>1</v>
      </c>
      <c r="B5" s="24">
        <f>C4*11/100</f>
        <v>5279.45</v>
      </c>
      <c r="C5" s="24">
        <f>C4-B5</f>
        <v>42715.55</v>
      </c>
      <c r="E5" s="5">
        <v>1</v>
      </c>
      <c r="F5" s="24">
        <f>G4*11/100</f>
        <v>1869.45</v>
      </c>
      <c r="G5" s="24">
        <f>G4-F5</f>
        <v>15125.55</v>
      </c>
      <c r="I5" s="5">
        <v>1</v>
      </c>
      <c r="J5" s="24">
        <f>K4*11/100</f>
        <v>11000</v>
      </c>
      <c r="K5" s="24">
        <f>K4-J5</f>
        <v>89000</v>
      </c>
    </row>
    <row r="6" spans="1:11" x14ac:dyDescent="0.3">
      <c r="A6" s="5">
        <v>2</v>
      </c>
      <c r="B6" s="24">
        <f>$C$4*22.25/100</f>
        <v>10678.887500000001</v>
      </c>
      <c r="C6" s="24">
        <f t="shared" ref="C6:C9" si="0">C5-B6</f>
        <v>32036.662500000002</v>
      </c>
      <c r="E6" s="5">
        <v>2</v>
      </c>
      <c r="F6" s="24">
        <f>$G$4*22.25/100</f>
        <v>3781.3874999999998</v>
      </c>
      <c r="G6" s="24">
        <f t="shared" ref="G6:G9" si="1">G5-F6</f>
        <v>11344.162499999999</v>
      </c>
      <c r="I6" s="5">
        <v>2</v>
      </c>
      <c r="J6" s="24">
        <f>$K$4*22.25/100</f>
        <v>22250</v>
      </c>
      <c r="K6" s="24">
        <f t="shared" ref="K6:K9" si="2">K5-J6</f>
        <v>66750</v>
      </c>
    </row>
    <row r="7" spans="1:11" x14ac:dyDescent="0.3">
      <c r="A7" s="5">
        <v>3</v>
      </c>
      <c r="B7" s="24">
        <f t="shared" ref="B7:B9" si="3">$C$4*22.25/100</f>
        <v>10678.887500000001</v>
      </c>
      <c r="C7" s="24">
        <f t="shared" si="0"/>
        <v>21357.775000000001</v>
      </c>
      <c r="E7" s="5">
        <v>3</v>
      </c>
      <c r="F7" s="24">
        <f t="shared" ref="F7:F9" si="4">$G$4*22.25/100</f>
        <v>3781.3874999999998</v>
      </c>
      <c r="G7" s="24">
        <f t="shared" si="1"/>
        <v>7562.7749999999987</v>
      </c>
      <c r="I7" s="5">
        <v>3</v>
      </c>
      <c r="J7" s="24">
        <f t="shared" ref="J7:J9" si="5">$K$4*22.25/100</f>
        <v>22250</v>
      </c>
      <c r="K7" s="24">
        <f t="shared" si="2"/>
        <v>44500</v>
      </c>
    </row>
    <row r="8" spans="1:11" x14ac:dyDescent="0.3">
      <c r="A8" s="5">
        <v>4</v>
      </c>
      <c r="B8" s="24">
        <f t="shared" si="3"/>
        <v>10678.887500000001</v>
      </c>
      <c r="C8" s="24">
        <f t="shared" si="0"/>
        <v>10678.887500000001</v>
      </c>
      <c r="E8" s="5">
        <v>4</v>
      </c>
      <c r="F8" s="24">
        <f t="shared" si="4"/>
        <v>3781.3874999999998</v>
      </c>
      <c r="G8" s="24">
        <f t="shared" si="1"/>
        <v>3781.3874999999989</v>
      </c>
      <c r="I8" s="5">
        <v>4</v>
      </c>
      <c r="J8" s="24">
        <f t="shared" si="5"/>
        <v>22250</v>
      </c>
      <c r="K8" s="24">
        <f t="shared" si="2"/>
        <v>22250</v>
      </c>
    </row>
    <row r="9" spans="1:11" x14ac:dyDescent="0.3">
      <c r="A9" s="5">
        <v>5</v>
      </c>
      <c r="B9" s="24">
        <f t="shared" si="3"/>
        <v>10678.887500000001</v>
      </c>
      <c r="C9" s="24">
        <f t="shared" si="0"/>
        <v>0</v>
      </c>
      <c r="E9" s="5">
        <v>5</v>
      </c>
      <c r="F9" s="24">
        <f t="shared" si="4"/>
        <v>3781.3874999999998</v>
      </c>
      <c r="G9" s="24">
        <f t="shared" si="1"/>
        <v>0</v>
      </c>
      <c r="I9" s="5">
        <v>5</v>
      </c>
      <c r="J9" s="24">
        <f t="shared" si="5"/>
        <v>22250</v>
      </c>
      <c r="K9" s="24">
        <f t="shared" si="2"/>
        <v>0</v>
      </c>
    </row>
    <row r="11" spans="1:11" x14ac:dyDescent="0.3">
      <c r="A11" s="27" t="s">
        <v>64</v>
      </c>
      <c r="B11" s="27"/>
      <c r="C11" s="27"/>
    </row>
    <row r="12" spans="1:11" x14ac:dyDescent="0.3">
      <c r="A12" s="5" t="s">
        <v>22</v>
      </c>
      <c r="B12" s="5" t="s">
        <v>51</v>
      </c>
      <c r="C12" s="5" t="s">
        <v>52</v>
      </c>
    </row>
    <row r="13" spans="1:11" x14ac:dyDescent="0.3">
      <c r="A13" s="5">
        <v>0</v>
      </c>
      <c r="B13" s="24"/>
      <c r="C13" s="24">
        <f>'Var 2 vstupy'!F2</f>
        <v>213100</v>
      </c>
    </row>
    <row r="14" spans="1:11" x14ac:dyDescent="0.3">
      <c r="A14" s="5">
        <v>1</v>
      </c>
      <c r="B14" s="24">
        <f>C13*11/100</f>
        <v>23441</v>
      </c>
      <c r="C14" s="24">
        <f>C13-B14</f>
        <v>189659</v>
      </c>
    </row>
    <row r="15" spans="1:11" x14ac:dyDescent="0.3">
      <c r="A15" s="5">
        <v>2</v>
      </c>
      <c r="B15" s="24">
        <f>$C$13*22.25/100</f>
        <v>47414.75</v>
      </c>
      <c r="C15" s="24">
        <f t="shared" ref="C15:C18" si="6">C14-B15</f>
        <v>142244.25</v>
      </c>
    </row>
    <row r="16" spans="1:11" x14ac:dyDescent="0.3">
      <c r="A16" s="5">
        <v>3</v>
      </c>
      <c r="B16" s="24">
        <f t="shared" ref="B16:B18" si="7">$C$13*22.25/100</f>
        <v>47414.75</v>
      </c>
      <c r="C16" s="24">
        <f t="shared" si="6"/>
        <v>94829.5</v>
      </c>
    </row>
    <row r="17" spans="1:3" x14ac:dyDescent="0.3">
      <c r="A17" s="5">
        <v>4</v>
      </c>
      <c r="B17" s="24">
        <f t="shared" si="7"/>
        <v>47414.75</v>
      </c>
      <c r="C17" s="24">
        <f t="shared" si="6"/>
        <v>47414.75</v>
      </c>
    </row>
    <row r="18" spans="1:3" x14ac:dyDescent="0.3">
      <c r="A18" s="5">
        <v>5</v>
      </c>
      <c r="B18" s="24">
        <f t="shared" si="7"/>
        <v>47414.75</v>
      </c>
      <c r="C18" s="24">
        <f t="shared" si="6"/>
        <v>0</v>
      </c>
    </row>
  </sheetData>
  <mergeCells count="2">
    <mergeCell ref="I2:K2"/>
    <mergeCell ref="A11:C1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Var 1 vstupy</vt:lpstr>
      <vt:lpstr>Var 1</vt:lpstr>
      <vt:lpstr>Var 2 vstupy</vt:lpstr>
      <vt:lpstr>Var 2</vt:lpstr>
      <vt:lpstr>Cit An</vt:lpstr>
      <vt:lpstr>Odpisy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MealowCZ MealowCZ</dc:creator>
  <cp:lastModifiedBy>MealowCZ MealowCZ</cp:lastModifiedBy>
  <cp:lastPrinted>2023-05-09T12:28:34Z</cp:lastPrinted>
  <dcterms:created xsi:type="dcterms:W3CDTF">2023-04-25T14:27:03Z</dcterms:created>
  <dcterms:modified xsi:type="dcterms:W3CDTF">2023-05-21T15:43:43Z</dcterms:modified>
</cp:coreProperties>
</file>