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21\Desktop\"/>
    </mc:Choice>
  </mc:AlternateContent>
  <xr:revisionPtr revIDLastSave="0" documentId="13_ncr:1_{0A5C464E-C4E1-448C-BA0D-E530371F5F20}" xr6:coauthVersionLast="47" xr6:coauthVersionMax="47" xr10:uidLastSave="{00000000-0000-0000-0000-000000000000}"/>
  <bookViews>
    <workbookView xWindow="-108" yWindow="-108" windowWidth="23256" windowHeight="12576" activeTab="1" xr2:uid="{D9AD686E-D83C-4C0A-85AB-5FAD60AE6E96}"/>
  </bookViews>
  <sheets>
    <sheet name="Ceník" sheetId="2" r:id="rId1"/>
    <sheet name="NPV, RCF, IRR, Doba návratnost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G50" i="2"/>
  <c r="G49" i="2"/>
  <c r="G48" i="2"/>
  <c r="G47" i="2"/>
  <c r="G45" i="2"/>
  <c r="G44" i="2"/>
  <c r="G43" i="2"/>
  <c r="G42" i="2"/>
  <c r="G41" i="2"/>
  <c r="G51" i="2" s="1"/>
  <c r="G53" i="2" s="1"/>
  <c r="G40" i="2"/>
  <c r="G39" i="2"/>
  <c r="N24" i="2"/>
  <c r="N23" i="2"/>
  <c r="J29" i="2"/>
  <c r="H29" i="2"/>
  <c r="D29" i="2"/>
  <c r="B29" i="2"/>
  <c r="J28" i="2"/>
  <c r="H28" i="2"/>
  <c r="F28" i="2"/>
  <c r="D28" i="2"/>
  <c r="B28" i="2"/>
  <c r="J27" i="2"/>
  <c r="B27" i="2"/>
  <c r="J26" i="2"/>
  <c r="H26" i="2"/>
  <c r="F26" i="2"/>
  <c r="D26" i="2"/>
  <c r="B25" i="2"/>
  <c r="J24" i="2"/>
  <c r="H24" i="2"/>
  <c r="F24" i="2"/>
  <c r="D24" i="2"/>
  <c r="D22" i="2"/>
  <c r="J20" i="2"/>
  <c r="H20" i="2"/>
  <c r="F20" i="2"/>
  <c r="D20" i="2"/>
  <c r="B20" i="2"/>
  <c r="H19" i="2"/>
  <c r="F19" i="2"/>
  <c r="K14" i="2"/>
  <c r="I14" i="2"/>
  <c r="F29" i="2" s="1"/>
  <c r="K12" i="2"/>
  <c r="H27" i="2" s="1"/>
  <c r="I12" i="2"/>
  <c r="F27" i="2" s="1"/>
  <c r="G12" i="2"/>
  <c r="D27" i="2" s="1"/>
  <c r="E12" i="2"/>
  <c r="K11" i="2"/>
  <c r="I11" i="2"/>
  <c r="G11" i="2"/>
  <c r="E11" i="2"/>
  <c r="B26" i="2" s="1"/>
  <c r="I7" i="2"/>
  <c r="F22" i="2" s="1"/>
  <c r="G7" i="2"/>
  <c r="G8" i="2" s="1"/>
  <c r="D23" i="2" s="1"/>
  <c r="E7" i="2"/>
  <c r="B22" i="2" s="1"/>
  <c r="M4" i="2"/>
  <c r="J19" i="2" s="1"/>
  <c r="K4" i="2"/>
  <c r="K7" i="2" s="1"/>
  <c r="I4" i="2"/>
  <c r="G4" i="2"/>
  <c r="D19" i="2" s="1"/>
  <c r="D30" i="2" s="1"/>
  <c r="D31" i="2" s="1"/>
  <c r="E4" i="2"/>
  <c r="V133" i="1"/>
  <c r="C128" i="1"/>
  <c r="B129" i="1" s="1"/>
  <c r="C123" i="1"/>
  <c r="C118" i="1"/>
  <c r="Q113" i="1"/>
  <c r="C113" i="1"/>
  <c r="F105" i="1" s="1"/>
  <c r="B134" i="1"/>
  <c r="Q128" i="1"/>
  <c r="Q123" i="1"/>
  <c r="B124" i="1" s="1"/>
  <c r="Q118" i="1"/>
  <c r="AF133" i="1"/>
  <c r="C133" i="1"/>
  <c r="F109" i="1" s="1"/>
  <c r="F108" i="1"/>
  <c r="F107" i="1"/>
  <c r="F106" i="1"/>
  <c r="C108" i="1"/>
  <c r="B108" i="1"/>
  <c r="B107" i="1"/>
  <c r="B106" i="1"/>
  <c r="B105" i="1"/>
  <c r="C104" i="1"/>
  <c r="B104" i="1"/>
  <c r="E93" i="1"/>
  <c r="D93" i="1"/>
  <c r="AH78" i="1"/>
  <c r="S78" i="1"/>
  <c r="E87" i="1" s="1"/>
  <c r="B70" i="1"/>
  <c r="B72" i="1" s="1"/>
  <c r="AH60" i="1"/>
  <c r="AG60" i="1"/>
  <c r="AF60" i="1"/>
  <c r="AE60" i="1"/>
  <c r="AD60" i="1"/>
  <c r="AC60" i="1"/>
  <c r="AB60" i="1"/>
  <c r="AA60" i="1"/>
  <c r="Z60" i="1"/>
  <c r="Y60" i="1"/>
  <c r="X60" i="1"/>
  <c r="W60" i="1"/>
  <c r="X61" i="1" s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B51" i="1"/>
  <c r="B57" i="1" s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S45" i="1" s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1" i="1"/>
  <c r="G32" i="1" s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S31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21" i="1"/>
  <c r="B27" i="1" s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S15" i="1" s="1"/>
  <c r="G18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10" i="1"/>
  <c r="D2" i="1" s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B30" i="2" l="1"/>
  <c r="C31" i="2" s="1"/>
  <c r="H22" i="2"/>
  <c r="K8" i="2"/>
  <c r="H23" i="2" s="1"/>
  <c r="H30" i="2" s="1"/>
  <c r="H31" i="2" s="1"/>
  <c r="M7" i="2"/>
  <c r="E8" i="2"/>
  <c r="B23" i="2" s="1"/>
  <c r="I8" i="2"/>
  <c r="F23" i="2" s="1"/>
  <c r="F30" i="2" s="1"/>
  <c r="F31" i="2" s="1"/>
  <c r="B114" i="1"/>
  <c r="E79" i="1"/>
  <c r="I79" i="1" s="1"/>
  <c r="S3" i="1"/>
  <c r="G6" i="1" s="1"/>
  <c r="E8" i="1"/>
  <c r="E85" i="1"/>
  <c r="E109" i="1"/>
  <c r="D60" i="1"/>
  <c r="E66" i="1" s="1"/>
  <c r="G62" i="1"/>
  <c r="E34" i="1"/>
  <c r="E39" i="1"/>
  <c r="G79" i="1"/>
  <c r="E33" i="1"/>
  <c r="E80" i="1"/>
  <c r="B119" i="1"/>
  <c r="E105" i="1"/>
  <c r="E82" i="1"/>
  <c r="E86" i="1"/>
  <c r="D14" i="1"/>
  <c r="G16" i="1"/>
  <c r="D44" i="1"/>
  <c r="G46" i="1"/>
  <c r="J61" i="1"/>
  <c r="E9" i="1"/>
  <c r="E106" i="1"/>
  <c r="E4" i="1"/>
  <c r="E31" i="1"/>
  <c r="I31" i="1" s="1"/>
  <c r="E35" i="1"/>
  <c r="E81" i="1"/>
  <c r="E5" i="1"/>
  <c r="E10" i="1"/>
  <c r="G31" i="1"/>
  <c r="E36" i="1"/>
  <c r="E107" i="1"/>
  <c r="G4" i="1"/>
  <c r="E11" i="1"/>
  <c r="E37" i="1"/>
  <c r="E83" i="1"/>
  <c r="E6" i="1"/>
  <c r="E38" i="1"/>
  <c r="E84" i="1"/>
  <c r="E108" i="1"/>
  <c r="E3" i="1"/>
  <c r="I3" i="1" s="1"/>
  <c r="E7" i="1"/>
  <c r="E32" i="1"/>
  <c r="M8" i="2" l="1"/>
  <c r="J23" i="2" s="1"/>
  <c r="J22" i="2"/>
  <c r="J30" i="2" s="1"/>
  <c r="J31" i="2" s="1"/>
  <c r="E69" i="1"/>
  <c r="E65" i="1"/>
  <c r="E68" i="1"/>
  <c r="E62" i="1"/>
  <c r="E67" i="1"/>
  <c r="E63" i="1"/>
  <c r="E64" i="1"/>
  <c r="E61" i="1"/>
  <c r="G61" i="1" s="1"/>
  <c r="G3" i="1"/>
  <c r="E50" i="1"/>
  <c r="G45" i="1"/>
  <c r="E49" i="1"/>
  <c r="E45" i="1"/>
  <c r="I45" i="1" s="1"/>
  <c r="E48" i="1"/>
  <c r="E53" i="1"/>
  <c r="E47" i="1"/>
  <c r="E52" i="1"/>
  <c r="E46" i="1"/>
  <c r="E51" i="1"/>
  <c r="E21" i="1"/>
  <c r="E16" i="1"/>
  <c r="E20" i="1"/>
  <c r="G15" i="1"/>
  <c r="E19" i="1"/>
  <c r="E15" i="1"/>
  <c r="I15" i="1" s="1"/>
  <c r="E18" i="1"/>
  <c r="E23" i="1"/>
  <c r="E22" i="1"/>
  <c r="E17" i="1"/>
</calcChain>
</file>

<file path=xl/sharedStrings.xml><?xml version="1.0" encoding="utf-8"?>
<sst xmlns="http://schemas.openxmlformats.org/spreadsheetml/2006/main" count="370" uniqueCount="124">
  <si>
    <t>Varianta 1</t>
  </si>
  <si>
    <t>Roky</t>
  </si>
  <si>
    <t>Tepelná ztráta</t>
  </si>
  <si>
    <t>17kW</t>
  </si>
  <si>
    <t>CF</t>
  </si>
  <si>
    <t>Potřeba tepla</t>
  </si>
  <si>
    <t>40MWh</t>
  </si>
  <si>
    <t>NPV 15,d=0,02</t>
  </si>
  <si>
    <t>NPV 30</t>
  </si>
  <si>
    <t>RCF15</t>
  </si>
  <si>
    <t>Reinvestice</t>
  </si>
  <si>
    <t>Opatření</t>
  </si>
  <si>
    <t>Cena bez DPH</t>
  </si>
  <si>
    <t>NPV 15,d=0,03</t>
  </si>
  <si>
    <t>TČ BoxAir-60</t>
  </si>
  <si>
    <t>NPV 15,d=0,04</t>
  </si>
  <si>
    <t>Investice</t>
  </si>
  <si>
    <t>SCOP</t>
  </si>
  <si>
    <t>NPV 15,d=0,05</t>
  </si>
  <si>
    <t>Servis</t>
  </si>
  <si>
    <t>Podlahové topení</t>
  </si>
  <si>
    <t>NPV 15,d=0,06</t>
  </si>
  <si>
    <t>Rozvody + instaleceTČ</t>
  </si>
  <si>
    <t>NPV 15,d=0,07</t>
  </si>
  <si>
    <t>dotace NZÚ</t>
  </si>
  <si>
    <t>NPV 15,d=0,08</t>
  </si>
  <si>
    <t>Celkem</t>
  </si>
  <si>
    <t>NPV 15,d=0,09</t>
  </si>
  <si>
    <t>NPV 15,d=0,10</t>
  </si>
  <si>
    <t>Varianta 2</t>
  </si>
  <si>
    <t>6kW</t>
  </si>
  <si>
    <t>Výměna oken</t>
  </si>
  <si>
    <t>Zbroušení oken a dvěří</t>
  </si>
  <si>
    <t>Zateplení střecha</t>
  </si>
  <si>
    <t>úprava krovu</t>
  </si>
  <si>
    <t>Zateplení obálka</t>
  </si>
  <si>
    <t>Tepelné čerpadlo VZ-VO</t>
  </si>
  <si>
    <t xml:space="preserve">rozvody + instalace TČ </t>
  </si>
  <si>
    <t>Podlahové topení + izolace</t>
  </si>
  <si>
    <t>Varianta 3</t>
  </si>
  <si>
    <t>Tepelná ztáta</t>
  </si>
  <si>
    <t>12kW</t>
  </si>
  <si>
    <t>28,2 MWh</t>
  </si>
  <si>
    <t>NPV15,d=0,02</t>
  </si>
  <si>
    <t>NPV30</t>
  </si>
  <si>
    <t xml:space="preserve">Tepelné čerpadlo </t>
  </si>
  <si>
    <t>rozvody + instalace TČ</t>
  </si>
  <si>
    <t>Celekm</t>
  </si>
  <si>
    <t>Varianta 4</t>
  </si>
  <si>
    <t>Zateplení podlaha</t>
  </si>
  <si>
    <t>Tepelné čerpadlo VZ-VZ</t>
  </si>
  <si>
    <t>Varianta 5</t>
  </si>
  <si>
    <t>12 kW</t>
  </si>
  <si>
    <t>23,2 MWh</t>
  </si>
  <si>
    <t>RCF20</t>
  </si>
  <si>
    <t>Potřeba tepla na TUV</t>
  </si>
  <si>
    <t>5MWh</t>
  </si>
  <si>
    <t>Dotace NZÚ</t>
  </si>
  <si>
    <t>TČ Stiebel SHP-F 220 +instalace</t>
  </si>
  <si>
    <t>Krbová vložka+rozvod</t>
  </si>
  <si>
    <t>Varianta 0</t>
  </si>
  <si>
    <t>RCF25</t>
  </si>
  <si>
    <t>Životnost</t>
  </si>
  <si>
    <t>30 let</t>
  </si>
  <si>
    <t>Současný stav</t>
  </si>
  <si>
    <t>Kamna na dřevo</t>
  </si>
  <si>
    <t>Akumulační kamna</t>
  </si>
  <si>
    <t>Přímotopové kanma</t>
  </si>
  <si>
    <t>NPV15</t>
  </si>
  <si>
    <t>RCF 15</t>
  </si>
  <si>
    <t>IRR</t>
  </si>
  <si>
    <t>Ts</t>
  </si>
  <si>
    <t>Tsd</t>
  </si>
  <si>
    <t xml:space="preserve"> 3 roky</t>
  </si>
  <si>
    <t>4 roky</t>
  </si>
  <si>
    <t>5 let</t>
  </si>
  <si>
    <t>7 let</t>
  </si>
  <si>
    <t>2 roky</t>
  </si>
  <si>
    <t>3 roky</t>
  </si>
  <si>
    <t>RCF 20</t>
  </si>
  <si>
    <t>RCF 25</t>
  </si>
  <si>
    <t>-</t>
  </si>
  <si>
    <t>Zůstatková hodnota</t>
  </si>
  <si>
    <t>15 let hodnocení</t>
  </si>
  <si>
    <t>30 let hodnocení</t>
  </si>
  <si>
    <t>Roční provoz</t>
  </si>
  <si>
    <t>Zůstatková hodnota 15</t>
  </si>
  <si>
    <t>Zůstatková hodnota 30</t>
  </si>
  <si>
    <t>Cena za rok [Kč]</t>
  </si>
  <si>
    <t>Tabulka pro výpočet  IRR</t>
  </si>
  <si>
    <t>Doba návratnosti</t>
  </si>
  <si>
    <t>Ceník ČEZ</t>
  </si>
  <si>
    <t>Varianta3</t>
  </si>
  <si>
    <t>jednotka</t>
  </si>
  <si>
    <t>Kč/jednotka</t>
  </si>
  <si>
    <t>Počet jednotek</t>
  </si>
  <si>
    <t>Obchodní část ceny</t>
  </si>
  <si>
    <t>VT=NT</t>
  </si>
  <si>
    <t>Kč/MWh</t>
  </si>
  <si>
    <t>stálá platba</t>
  </si>
  <si>
    <t>Kč/měsíc</t>
  </si>
  <si>
    <t>Distribuce C57d</t>
  </si>
  <si>
    <t>VT</t>
  </si>
  <si>
    <t>NT</t>
  </si>
  <si>
    <t>Jistič 3x25A</t>
  </si>
  <si>
    <t>Jistič 3x40A</t>
  </si>
  <si>
    <t>Sytémova služba</t>
  </si>
  <si>
    <t>POZE</t>
  </si>
  <si>
    <t>OTE</t>
  </si>
  <si>
    <t>Daň z elektriny</t>
  </si>
  <si>
    <t xml:space="preserve">Obchodní část </t>
  </si>
  <si>
    <t xml:space="preserve">Distribuce </t>
  </si>
  <si>
    <t>Potřeba dřeva</t>
  </si>
  <si>
    <t>Cena za prm dřeva(500kg)</t>
  </si>
  <si>
    <t>výhřevnost 1kg</t>
  </si>
  <si>
    <t>3,44kW</t>
  </si>
  <si>
    <t>24MWh</t>
  </si>
  <si>
    <t>Spotřeba rok</t>
  </si>
  <si>
    <t>Cena Celkem</t>
  </si>
  <si>
    <t>Celkem komplet</t>
  </si>
  <si>
    <t>Varianta0</t>
  </si>
  <si>
    <t>Celkem cena</t>
  </si>
  <si>
    <t>Daň z elektřiny</t>
  </si>
  <si>
    <t>Cena dřeva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</si>
</sst>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0" xfId="0" applyFon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0" xfId="0" applyFont="1"/>
    <xf numFmtId="8" fontId="0" fillId="0" borderId="0" xfId="2" applyNumberFormat="1" applyFont="1" applyBorder="1"/>
    <xf numFmtId="8" fontId="0" fillId="0" borderId="0" xfId="0" applyNumberFormat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44" fontId="0" fillId="0" borderId="6" xfId="2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0" fontId="0" fillId="0" borderId="5" xfId="0" applyBorder="1"/>
    <xf numFmtId="44" fontId="2" fillId="0" borderId="0" xfId="2" applyFont="1" applyBorder="1"/>
    <xf numFmtId="0" fontId="0" fillId="0" borderId="12" xfId="0" applyBorder="1" applyAlignment="1">
      <alignment horizontal="left"/>
    </xf>
    <xf numFmtId="44" fontId="2" fillId="0" borderId="13" xfId="0" applyNumberFormat="1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8" fontId="0" fillId="0" borderId="14" xfId="2" applyNumberFormat="1" applyFont="1" applyBorder="1"/>
    <xf numFmtId="0" fontId="0" fillId="0" borderId="13" xfId="0" applyBorder="1"/>
    <xf numFmtId="0" fontId="4" fillId="0" borderId="0" xfId="0" applyFont="1"/>
    <xf numFmtId="0" fontId="0" fillId="0" borderId="6" xfId="0" applyBorder="1"/>
    <xf numFmtId="0" fontId="0" fillId="0" borderId="5" xfId="0" applyBorder="1" applyAlignment="1">
      <alignment horizontal="left" vertical="top"/>
    </xf>
    <xf numFmtId="0" fontId="0" fillId="0" borderId="15" xfId="0" applyBorder="1" applyAlignment="1">
      <alignment horizontal="left"/>
    </xf>
    <xf numFmtId="44" fontId="2" fillId="0" borderId="13" xfId="0" applyNumberFormat="1" applyFont="1" applyBorder="1"/>
    <xf numFmtId="8" fontId="0" fillId="0" borderId="14" xfId="0" applyNumberFormat="1" applyBorder="1"/>
    <xf numFmtId="0" fontId="0" fillId="0" borderId="10" xfId="0" applyBorder="1"/>
    <xf numFmtId="0" fontId="0" fillId="0" borderId="7" xfId="0" applyBorder="1"/>
    <xf numFmtId="44" fontId="0" fillId="0" borderId="6" xfId="2" applyFont="1" applyBorder="1"/>
    <xf numFmtId="0" fontId="0" fillId="0" borderId="16" xfId="0" applyBorder="1"/>
    <xf numFmtId="44" fontId="0" fillId="0" borderId="17" xfId="2" applyFont="1" applyBorder="1"/>
    <xf numFmtId="0" fontId="0" fillId="0" borderId="15" xfId="0" applyBorder="1" applyAlignment="1">
      <alignment horizontal="left" vertical="top"/>
    </xf>
    <xf numFmtId="44" fontId="0" fillId="0" borderId="18" xfId="2" applyFont="1" applyBorder="1" applyAlignment="1">
      <alignment horizontal="center"/>
    </xf>
    <xf numFmtId="0" fontId="0" fillId="0" borderId="19" xfId="0" applyBorder="1" applyAlignment="1">
      <alignment horizontal="left"/>
    </xf>
    <xf numFmtId="44" fontId="0" fillId="0" borderId="11" xfId="2" applyFont="1" applyBorder="1" applyAlignment="1">
      <alignment horizontal="center"/>
    </xf>
    <xf numFmtId="0" fontId="3" fillId="2" borderId="1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44" fontId="0" fillId="2" borderId="6" xfId="2" applyFont="1" applyFill="1" applyBorder="1"/>
    <xf numFmtId="0" fontId="0" fillId="2" borderId="20" xfId="0" applyFill="1" applyBorder="1"/>
    <xf numFmtId="8" fontId="0" fillId="0" borderId="9" xfId="0" applyNumberFormat="1" applyBorder="1"/>
    <xf numFmtId="0" fontId="5" fillId="2" borderId="16" xfId="0" applyFont="1" applyFill="1" applyBorder="1" applyAlignment="1">
      <alignment vertical="center" wrapText="1"/>
    </xf>
    <xf numFmtId="0" fontId="5" fillId="2" borderId="17" xfId="2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44" fontId="6" fillId="0" borderId="22" xfId="2" applyFont="1" applyBorder="1" applyAlignment="1">
      <alignment horizontal="right" vertical="center" wrapTex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/>
    <xf numFmtId="44" fontId="2" fillId="0" borderId="0" xfId="2" applyFont="1" applyFill="1" applyBorder="1"/>
    <xf numFmtId="0" fontId="7" fillId="0" borderId="0" xfId="0" applyFont="1"/>
    <xf numFmtId="44" fontId="0" fillId="0" borderId="1" xfId="2" applyFont="1" applyBorder="1" applyAlignment="1">
      <alignment horizontal="center"/>
    </xf>
    <xf numFmtId="44" fontId="0" fillId="0" borderId="24" xfId="2" applyFont="1" applyBorder="1" applyAlignment="1">
      <alignment horizontal="center"/>
    </xf>
    <xf numFmtId="44" fontId="0" fillId="0" borderId="24" xfId="2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5" xfId="2" applyFont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9" fontId="0" fillId="0" borderId="23" xfId="3" applyFont="1" applyBorder="1" applyAlignment="1">
      <alignment horizontal="center"/>
    </xf>
    <xf numFmtId="44" fontId="0" fillId="0" borderId="23" xfId="2" applyFont="1" applyBorder="1" applyAlignment="1">
      <alignment horizontal="center"/>
    </xf>
    <xf numFmtId="44" fontId="0" fillId="0" borderId="16" xfId="2" applyFont="1" applyBorder="1" applyAlignment="1">
      <alignment horizontal="center"/>
    </xf>
    <xf numFmtId="44" fontId="0" fillId="0" borderId="25" xfId="2" applyFont="1" applyBorder="1" applyAlignment="1">
      <alignment horizontal="center"/>
    </xf>
    <xf numFmtId="9" fontId="0" fillId="0" borderId="25" xfId="3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2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0" fillId="0" borderId="17" xfId="2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 horizontal="center"/>
    </xf>
    <xf numFmtId="44" fontId="3" fillId="0" borderId="0" xfId="2" applyFont="1" applyFill="1" applyBorder="1" applyAlignment="1">
      <alignment horizontal="center"/>
    </xf>
    <xf numFmtId="0" fontId="3" fillId="0" borderId="23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2" applyFont="1" applyBorder="1" applyAlignment="1">
      <alignment horizontal="center"/>
    </xf>
    <xf numFmtId="1" fontId="0" fillId="0" borderId="0" xfId="0" applyNumberFormat="1" applyAlignment="1">
      <alignment horizontal="center"/>
    </xf>
    <xf numFmtId="44" fontId="2" fillId="0" borderId="0" xfId="0" applyNumberFormat="1" applyFon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Font="1"/>
    <xf numFmtId="8" fontId="0" fillId="0" borderId="23" xfId="2" applyNumberFormat="1" applyFon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0" fontId="2" fillId="0" borderId="26" xfId="0" applyFont="1" applyBorder="1"/>
    <xf numFmtId="0" fontId="0" fillId="0" borderId="27" xfId="0" applyBorder="1"/>
    <xf numFmtId="0" fontId="2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9" xfId="0" applyBorder="1"/>
    <xf numFmtId="0" fontId="0" fillId="0" borderId="0" xfId="0" applyBorder="1"/>
    <xf numFmtId="0" fontId="2" fillId="0" borderId="0" xfId="0" applyFont="1" applyBorder="1"/>
    <xf numFmtId="44" fontId="0" fillId="0" borderId="0" xfId="0" applyNumberFormat="1" applyBorder="1"/>
    <xf numFmtId="0" fontId="0" fillId="0" borderId="0" xfId="0" applyFont="1" applyBorder="1"/>
    <xf numFmtId="8" fontId="0" fillId="0" borderId="0" xfId="0" applyNumberFormat="1" applyBorder="1"/>
    <xf numFmtId="0" fontId="9" fillId="0" borderId="0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NumberFormat="1" applyBorder="1"/>
    <xf numFmtId="9" fontId="0" fillId="0" borderId="19" xfId="0" applyNumberFormat="1" applyFont="1" applyBorder="1"/>
    <xf numFmtId="0" fontId="0" fillId="0" borderId="31" xfId="0" applyBorder="1"/>
    <xf numFmtId="0" fontId="0" fillId="0" borderId="32" xfId="0" applyBorder="1"/>
    <xf numFmtId="0" fontId="2" fillId="0" borderId="3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4" fontId="0" fillId="0" borderId="36" xfId="0" applyNumberFormat="1" applyBorder="1"/>
    <xf numFmtId="164" fontId="2" fillId="0" borderId="23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2" fillId="0" borderId="36" xfId="0" applyNumberFormat="1" applyFont="1" applyBorder="1"/>
    <xf numFmtId="164" fontId="0" fillId="0" borderId="23" xfId="0" applyNumberFormat="1" applyBorder="1"/>
    <xf numFmtId="164" fontId="0" fillId="0" borderId="37" xfId="0" applyNumberFormat="1" applyBorder="1"/>
    <xf numFmtId="164" fontId="2" fillId="0" borderId="25" xfId="0" applyNumberFormat="1" applyFont="1" applyBorder="1"/>
    <xf numFmtId="164" fontId="2" fillId="0" borderId="17" xfId="0" applyNumberFormat="1" applyFont="1" applyBorder="1" applyAlignment="1">
      <alignment horizontal="center"/>
    </xf>
    <xf numFmtId="0" fontId="0" fillId="0" borderId="1" xfId="0" applyBorder="1"/>
    <xf numFmtId="164" fontId="0" fillId="0" borderId="5" xfId="0" applyNumberFormat="1" applyBorder="1"/>
    <xf numFmtId="0" fontId="2" fillId="0" borderId="23" xfId="0" applyFont="1" applyBorder="1"/>
    <xf numFmtId="44" fontId="2" fillId="0" borderId="23" xfId="2" applyFont="1" applyBorder="1" applyAlignment="1">
      <alignment horizontal="center"/>
    </xf>
    <xf numFmtId="0" fontId="2" fillId="0" borderId="16" xfId="0" applyFont="1" applyBorder="1"/>
    <xf numFmtId="0" fontId="0" fillId="0" borderId="25" xfId="0" applyBorder="1"/>
    <xf numFmtId="44" fontId="2" fillId="0" borderId="25" xfId="0" applyNumberFormat="1" applyFont="1" applyBorder="1"/>
    <xf numFmtId="0" fontId="2" fillId="0" borderId="1" xfId="0" applyFont="1" applyBorder="1"/>
    <xf numFmtId="0" fontId="0" fillId="0" borderId="24" xfId="0" applyBorder="1"/>
    <xf numFmtId="0" fontId="2" fillId="0" borderId="5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2" fillId="0" borderId="23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0" fillId="0" borderId="20" xfId="0" applyNumberFormat="1" applyBorder="1"/>
    <xf numFmtId="164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2" fillId="0" borderId="16" xfId="0" applyNumberFormat="1" applyFont="1" applyBorder="1"/>
    <xf numFmtId="0" fontId="0" fillId="0" borderId="25" xfId="0" applyBorder="1" applyAlignment="1">
      <alignment horizontal="center"/>
    </xf>
    <xf numFmtId="44" fontId="2" fillId="0" borderId="43" xfId="2" applyFont="1" applyBorder="1" applyAlignment="1">
      <alignment horizontal="center"/>
    </xf>
    <xf numFmtId="44" fontId="2" fillId="0" borderId="44" xfId="2" applyFont="1" applyBorder="1" applyAlignment="1">
      <alignment horizontal="center"/>
    </xf>
    <xf numFmtId="0" fontId="0" fillId="0" borderId="23" xfId="0" applyBorder="1" applyAlignment="1">
      <alignment horizontal="center"/>
    </xf>
    <xf numFmtId="44" fontId="0" fillId="0" borderId="23" xfId="2" applyFont="1" applyBorder="1" applyAlignment="1">
      <alignment horizontal="center"/>
    </xf>
    <xf numFmtId="44" fontId="0" fillId="0" borderId="6" xfId="2" applyFont="1" applyBorder="1" applyAlignment="1">
      <alignment horizontal="center"/>
    </xf>
    <xf numFmtId="44" fontId="1" fillId="0" borderId="41" xfId="2" applyFont="1" applyBorder="1" applyAlignment="1">
      <alignment horizontal="center"/>
    </xf>
    <xf numFmtId="44" fontId="1" fillId="0" borderId="18" xfId="2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44" fontId="0" fillId="0" borderId="23" xfId="2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39" xfId="0" applyNumberFormat="1" applyFont="1" applyBorder="1" applyAlignment="1">
      <alignment horizontal="center"/>
    </xf>
    <xf numFmtId="44" fontId="2" fillId="0" borderId="3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23" xfId="2" applyFont="1" applyBorder="1" applyAlignment="1"/>
    <xf numFmtId="44" fontId="0" fillId="0" borderId="33" xfId="2" applyFont="1" applyBorder="1" applyAlignment="1">
      <alignment vertical="center"/>
    </xf>
    <xf numFmtId="44" fontId="0" fillId="0" borderId="35" xfId="2" applyFont="1" applyBorder="1" applyAlignment="1">
      <alignment vertical="center"/>
    </xf>
    <xf numFmtId="44" fontId="2" fillId="0" borderId="38" xfId="2" applyFont="1" applyBorder="1" applyAlignment="1">
      <alignment horizontal="center"/>
    </xf>
    <xf numFmtId="44" fontId="2" fillId="0" borderId="34" xfId="2" applyFont="1" applyBorder="1" applyAlignment="1">
      <alignment horizontal="center"/>
    </xf>
    <xf numFmtId="44" fontId="2" fillId="0" borderId="35" xfId="2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0" xfId="2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4" fontId="0" fillId="0" borderId="0" xfId="2" applyFont="1" applyBorder="1" applyAlignment="1"/>
    <xf numFmtId="44" fontId="0" fillId="0" borderId="0" xfId="2" applyFont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3" xfId="0" applyFont="1" applyBorder="1" applyAlignment="1">
      <alignment horizontal="center"/>
    </xf>
  </cellXfs>
  <cellStyles count="4">
    <cellStyle name="Čárka" xfId="1" builtinId="3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27C1-27CE-445C-BBDF-4C06EC703F01}">
  <dimension ref="A1:N53"/>
  <sheetViews>
    <sheetView workbookViewId="0">
      <selection activeCell="B19" sqref="B19:C19"/>
    </sheetView>
  </sheetViews>
  <sheetFormatPr defaultRowHeight="14.4" x14ac:dyDescent="0.3"/>
  <cols>
    <col min="1" max="1" width="13.5546875" customWidth="1"/>
    <col min="2" max="2" width="11" customWidth="1"/>
    <col min="3" max="3" width="15.21875" customWidth="1"/>
    <col min="4" max="4" width="11.44140625" customWidth="1"/>
    <col min="10" max="10" width="10.88671875" customWidth="1"/>
    <col min="11" max="11" width="14.33203125" customWidth="1"/>
    <col min="13" max="13" width="24.21875" customWidth="1"/>
    <col min="14" max="14" width="16.33203125" customWidth="1"/>
    <col min="19" max="19" width="12.109375" customWidth="1"/>
    <col min="20" max="20" width="14.88671875" customWidth="1"/>
  </cols>
  <sheetData>
    <row r="1" spans="1:13" x14ac:dyDescent="0.3">
      <c r="A1" s="155" t="s">
        <v>91</v>
      </c>
      <c r="B1" s="155"/>
      <c r="C1" s="4"/>
      <c r="D1" s="114"/>
      <c r="E1" s="179" t="s">
        <v>0</v>
      </c>
      <c r="F1" s="179"/>
      <c r="G1" s="179" t="s">
        <v>29</v>
      </c>
      <c r="H1" s="179"/>
      <c r="I1" s="179" t="s">
        <v>92</v>
      </c>
      <c r="J1" s="179"/>
      <c r="K1" s="179" t="s">
        <v>48</v>
      </c>
      <c r="L1" s="179"/>
      <c r="M1" s="2" t="s">
        <v>51</v>
      </c>
    </row>
    <row r="2" spans="1:13" x14ac:dyDescent="0.3">
      <c r="A2" s="55"/>
      <c r="B2" s="55"/>
      <c r="C2" s="115" t="s">
        <v>93</v>
      </c>
      <c r="D2" s="55" t="s">
        <v>94</v>
      </c>
      <c r="E2" s="180" t="s">
        <v>95</v>
      </c>
      <c r="F2" s="152"/>
      <c r="G2" s="152"/>
      <c r="H2" s="152"/>
      <c r="I2" s="152"/>
      <c r="J2" s="152"/>
      <c r="K2" s="152"/>
      <c r="L2" s="152"/>
      <c r="M2" s="170"/>
    </row>
    <row r="3" spans="1:13" x14ac:dyDescent="0.3">
      <c r="A3" s="155" t="s">
        <v>96</v>
      </c>
      <c r="B3" s="155"/>
      <c r="C3" s="116"/>
      <c r="D3" s="117"/>
      <c r="E3" s="117"/>
      <c r="F3" s="117"/>
      <c r="G3" s="117"/>
      <c r="H3" s="117"/>
      <c r="I3" s="117"/>
      <c r="J3" s="117"/>
      <c r="K3" s="117"/>
      <c r="L3" s="55"/>
      <c r="M3" s="28"/>
    </row>
    <row r="4" spans="1:13" x14ac:dyDescent="0.3">
      <c r="A4" s="175" t="s">
        <v>97</v>
      </c>
      <c r="B4" s="175"/>
      <c r="C4" s="118" t="s">
        <v>98</v>
      </c>
      <c r="D4" s="119">
        <v>3477</v>
      </c>
      <c r="E4" s="176">
        <f>40/3.2</f>
        <v>12.5</v>
      </c>
      <c r="F4" s="176"/>
      <c r="G4" s="176">
        <f>15.4/3.8</f>
        <v>4.052631578947369</v>
      </c>
      <c r="H4" s="176"/>
      <c r="I4" s="176">
        <f>28.2/3.8</f>
        <v>7.4210526315789478</v>
      </c>
      <c r="J4" s="176"/>
      <c r="K4" s="176">
        <f>15.4/3.8</f>
        <v>4.052631578947369</v>
      </c>
      <c r="L4" s="176"/>
      <c r="M4" s="120">
        <f>5/3.07</f>
        <v>1.6286644951140066</v>
      </c>
    </row>
    <row r="5" spans="1:13" x14ac:dyDescent="0.3">
      <c r="A5" s="175" t="s">
        <v>99</v>
      </c>
      <c r="B5" s="175"/>
      <c r="C5" s="118" t="s">
        <v>100</v>
      </c>
      <c r="D5" s="119">
        <v>107</v>
      </c>
      <c r="E5" s="176">
        <v>12</v>
      </c>
      <c r="F5" s="176"/>
      <c r="G5" s="176">
        <v>12</v>
      </c>
      <c r="H5" s="176"/>
      <c r="I5" s="176">
        <v>12</v>
      </c>
      <c r="J5" s="176"/>
      <c r="K5" s="176">
        <v>12</v>
      </c>
      <c r="L5" s="176"/>
      <c r="M5" s="120">
        <v>12</v>
      </c>
    </row>
    <row r="6" spans="1:13" x14ac:dyDescent="0.3">
      <c r="A6" s="176" t="s">
        <v>101</v>
      </c>
      <c r="B6" s="176"/>
      <c r="C6" s="121"/>
      <c r="D6" s="119"/>
      <c r="E6" s="119"/>
      <c r="F6" s="119"/>
      <c r="G6" s="119"/>
      <c r="H6" s="119"/>
      <c r="I6" s="119"/>
      <c r="J6" s="119"/>
      <c r="K6" s="119"/>
      <c r="L6" s="122"/>
      <c r="M6" s="120"/>
    </row>
    <row r="7" spans="1:13" x14ac:dyDescent="0.3">
      <c r="A7" s="175" t="s">
        <v>102</v>
      </c>
      <c r="B7" s="175"/>
      <c r="C7" s="118" t="s">
        <v>98</v>
      </c>
      <c r="D7" s="119">
        <v>320</v>
      </c>
      <c r="E7" s="176">
        <f>E4/6</f>
        <v>2.0833333333333335</v>
      </c>
      <c r="F7" s="176"/>
      <c r="G7" s="176">
        <f>G4/6</f>
        <v>0.67543859649122817</v>
      </c>
      <c r="H7" s="176"/>
      <c r="I7" s="176">
        <f>I4/6</f>
        <v>1.236842105263158</v>
      </c>
      <c r="J7" s="176"/>
      <c r="K7" s="176">
        <f>K4/6</f>
        <v>0.67543859649122817</v>
      </c>
      <c r="L7" s="176"/>
      <c r="M7" s="120">
        <f>M4/6</f>
        <v>0.2714440825190011</v>
      </c>
    </row>
    <row r="8" spans="1:13" x14ac:dyDescent="0.3">
      <c r="A8" s="175" t="s">
        <v>103</v>
      </c>
      <c r="B8" s="175"/>
      <c r="C8" s="118" t="s">
        <v>98</v>
      </c>
      <c r="D8" s="119">
        <v>210</v>
      </c>
      <c r="E8" s="176">
        <f>E7*5</f>
        <v>10.416666666666668</v>
      </c>
      <c r="F8" s="176"/>
      <c r="G8" s="176">
        <f>G7*5</f>
        <v>3.3771929824561409</v>
      </c>
      <c r="H8" s="176"/>
      <c r="I8" s="176">
        <f>I7*5</f>
        <v>6.1842105263157894</v>
      </c>
      <c r="J8" s="176"/>
      <c r="K8" s="176">
        <f>5*K7</f>
        <v>3.3771929824561409</v>
      </c>
      <c r="L8" s="176"/>
      <c r="M8" s="120">
        <f>M7*5</f>
        <v>1.3572204125950056</v>
      </c>
    </row>
    <row r="9" spans="1:13" x14ac:dyDescent="0.3">
      <c r="A9" s="175" t="s">
        <v>104</v>
      </c>
      <c r="B9" s="175"/>
      <c r="C9" s="118" t="s">
        <v>100</v>
      </c>
      <c r="D9" s="119">
        <v>411</v>
      </c>
      <c r="E9" s="176" t="s">
        <v>81</v>
      </c>
      <c r="F9" s="176"/>
      <c r="G9" s="176">
        <v>12</v>
      </c>
      <c r="H9" s="176"/>
      <c r="I9" s="176">
        <v>12</v>
      </c>
      <c r="J9" s="176"/>
      <c r="K9" s="176">
        <v>12</v>
      </c>
      <c r="L9" s="176"/>
      <c r="M9" s="120">
        <v>12</v>
      </c>
    </row>
    <row r="10" spans="1:13" x14ac:dyDescent="0.3">
      <c r="A10" s="175" t="s">
        <v>105</v>
      </c>
      <c r="B10" s="175"/>
      <c r="C10" s="118" t="s">
        <v>100</v>
      </c>
      <c r="D10" s="119">
        <v>658</v>
      </c>
      <c r="E10" s="176">
        <v>12</v>
      </c>
      <c r="F10" s="176"/>
      <c r="G10" s="176" t="s">
        <v>81</v>
      </c>
      <c r="H10" s="176"/>
      <c r="I10" s="176" t="s">
        <v>81</v>
      </c>
      <c r="J10" s="176"/>
      <c r="K10" s="176" t="s">
        <v>81</v>
      </c>
      <c r="L10" s="176"/>
      <c r="M10" s="120"/>
    </row>
    <row r="11" spans="1:13" x14ac:dyDescent="0.3">
      <c r="A11" s="175" t="s">
        <v>106</v>
      </c>
      <c r="B11" s="175"/>
      <c r="C11" s="118" t="s">
        <v>98</v>
      </c>
      <c r="D11" s="119">
        <v>137</v>
      </c>
      <c r="E11" s="176">
        <f>32.5/3.2</f>
        <v>10.15625</v>
      </c>
      <c r="F11" s="176"/>
      <c r="G11" s="176">
        <f>15.4/3.8</f>
        <v>4.052631578947369</v>
      </c>
      <c r="H11" s="176"/>
      <c r="I11" s="176">
        <f>21.2/3.8</f>
        <v>5.5789473684210531</v>
      </c>
      <c r="J11" s="176"/>
      <c r="K11" s="176">
        <f>15.4/3.2</f>
        <v>4.8125</v>
      </c>
      <c r="L11" s="176"/>
      <c r="M11" s="120">
        <v>1.6</v>
      </c>
    </row>
    <row r="12" spans="1:13" x14ac:dyDescent="0.3">
      <c r="A12" s="175" t="s">
        <v>107</v>
      </c>
      <c r="B12" s="175"/>
      <c r="C12" s="118" t="s">
        <v>98</v>
      </c>
      <c r="D12" s="119">
        <v>598</v>
      </c>
      <c r="E12" s="176">
        <f>32.5/3.2</f>
        <v>10.15625</v>
      </c>
      <c r="F12" s="176"/>
      <c r="G12" s="176">
        <f>15.4/3.8</f>
        <v>4.052631578947369</v>
      </c>
      <c r="H12" s="176"/>
      <c r="I12" s="176">
        <f>21.2/3.8</f>
        <v>5.5789473684210531</v>
      </c>
      <c r="J12" s="176"/>
      <c r="K12" s="176">
        <f>15.4/3.2</f>
        <v>4.8125</v>
      </c>
      <c r="L12" s="176"/>
      <c r="M12" s="120">
        <v>1.6</v>
      </c>
    </row>
    <row r="13" spans="1:13" x14ac:dyDescent="0.3">
      <c r="A13" s="175" t="s">
        <v>108</v>
      </c>
      <c r="B13" s="175"/>
      <c r="C13" s="118" t="s">
        <v>100</v>
      </c>
      <c r="D13" s="119">
        <v>5.8</v>
      </c>
      <c r="E13" s="176">
        <v>12</v>
      </c>
      <c r="F13" s="176"/>
      <c r="G13" s="176">
        <v>12</v>
      </c>
      <c r="H13" s="176"/>
      <c r="I13" s="176">
        <v>12</v>
      </c>
      <c r="J13" s="176"/>
      <c r="K13" s="176">
        <v>12</v>
      </c>
      <c r="L13" s="176"/>
      <c r="M13" s="120">
        <v>12</v>
      </c>
    </row>
    <row r="14" spans="1:13" ht="15" thickBot="1" x14ac:dyDescent="0.35">
      <c r="A14" s="175" t="s">
        <v>109</v>
      </c>
      <c r="B14" s="175"/>
      <c r="C14" s="123" t="s">
        <v>98</v>
      </c>
      <c r="D14" s="124">
        <v>34</v>
      </c>
      <c r="E14" s="177">
        <v>4.0999999999999996</v>
      </c>
      <c r="F14" s="177"/>
      <c r="G14" s="178">
        <v>4.8</v>
      </c>
      <c r="H14" s="178"/>
      <c r="I14" s="178">
        <f>21.2/3.8</f>
        <v>5.5789473684210531</v>
      </c>
      <c r="J14" s="178"/>
      <c r="K14" s="178">
        <f>15.4/3.2</f>
        <v>4.8125</v>
      </c>
      <c r="L14" s="178"/>
      <c r="M14" s="125">
        <v>1.6</v>
      </c>
    </row>
    <row r="15" spans="1:13" x14ac:dyDescent="0.3">
      <c r="G15" s="171"/>
      <c r="H15" s="172"/>
      <c r="I15" s="173"/>
      <c r="J15" s="173"/>
      <c r="K15" s="174"/>
      <c r="L15" s="174"/>
    </row>
    <row r="16" spans="1:13" ht="15" thickBot="1" x14ac:dyDescent="0.35">
      <c r="G16" s="171"/>
      <c r="H16" s="171"/>
      <c r="I16" s="174"/>
      <c r="J16" s="174"/>
      <c r="K16" s="174"/>
      <c r="L16" s="174"/>
    </row>
    <row r="17" spans="1:14" x14ac:dyDescent="0.3">
      <c r="A17" s="126"/>
      <c r="B17" s="160" t="s">
        <v>0</v>
      </c>
      <c r="C17" s="160"/>
      <c r="D17" s="160" t="s">
        <v>29</v>
      </c>
      <c r="E17" s="160"/>
      <c r="F17" s="160" t="s">
        <v>92</v>
      </c>
      <c r="G17" s="160"/>
      <c r="H17" s="160" t="s">
        <v>48</v>
      </c>
      <c r="I17" s="160"/>
      <c r="J17" s="160" t="s">
        <v>51</v>
      </c>
      <c r="K17" s="161"/>
      <c r="M17" s="128" t="s">
        <v>112</v>
      </c>
      <c r="N17" s="55"/>
    </row>
    <row r="18" spans="1:14" x14ac:dyDescent="0.3">
      <c r="A18" s="169" t="s">
        <v>110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70"/>
      <c r="M18" s="55"/>
      <c r="N18" s="55"/>
    </row>
    <row r="19" spans="1:14" x14ac:dyDescent="0.3">
      <c r="A19" s="127" t="s">
        <v>97</v>
      </c>
      <c r="B19" s="163">
        <f>D4*E4</f>
        <v>43462.5</v>
      </c>
      <c r="C19" s="163"/>
      <c r="D19" s="163">
        <f>D4*G4</f>
        <v>14091.000000000002</v>
      </c>
      <c r="E19" s="163"/>
      <c r="F19" s="163">
        <f>D4*I4</f>
        <v>25803</v>
      </c>
      <c r="G19" s="163"/>
      <c r="H19" s="163">
        <f>K4*D4</f>
        <v>14091.000000000002</v>
      </c>
      <c r="I19" s="163"/>
      <c r="J19" s="164">
        <f>M4*D4</f>
        <v>5662.8664495114008</v>
      </c>
      <c r="K19" s="165"/>
      <c r="M19" s="128" t="s">
        <v>51</v>
      </c>
      <c r="N19" s="55"/>
    </row>
    <row r="20" spans="1:14" x14ac:dyDescent="0.3">
      <c r="A20" s="127" t="s">
        <v>99</v>
      </c>
      <c r="B20" s="163">
        <f>D5*E5</f>
        <v>1284</v>
      </c>
      <c r="C20" s="163"/>
      <c r="D20" s="163">
        <f>D5*G5</f>
        <v>1284</v>
      </c>
      <c r="E20" s="163"/>
      <c r="F20" s="163">
        <f>D5*I5</f>
        <v>1284</v>
      </c>
      <c r="G20" s="163"/>
      <c r="H20" s="163">
        <f>K5*D5</f>
        <v>1284</v>
      </c>
      <c r="I20" s="163"/>
      <c r="J20" s="164">
        <f>M5*D5</f>
        <v>1284</v>
      </c>
      <c r="K20" s="165"/>
      <c r="M20" s="55" t="s">
        <v>113</v>
      </c>
      <c r="N20" s="66">
        <v>1200</v>
      </c>
    </row>
    <row r="21" spans="1:14" x14ac:dyDescent="0.3">
      <c r="A21" s="166" t="s">
        <v>111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8"/>
      <c r="M21" s="55" t="s">
        <v>114</v>
      </c>
      <c r="N21" s="54" t="s">
        <v>115</v>
      </c>
    </row>
    <row r="22" spans="1:14" x14ac:dyDescent="0.3">
      <c r="A22" s="127" t="s">
        <v>102</v>
      </c>
      <c r="B22" s="163">
        <f>D7*E7</f>
        <v>666.66666666666674</v>
      </c>
      <c r="C22" s="163"/>
      <c r="D22" s="163">
        <f>D7*G7</f>
        <v>216.14035087719301</v>
      </c>
      <c r="E22" s="163"/>
      <c r="F22" s="163">
        <f>D7*I7</f>
        <v>395.78947368421052</v>
      </c>
      <c r="G22" s="163"/>
      <c r="H22" s="163">
        <f>K7*D7</f>
        <v>216.14035087719301</v>
      </c>
      <c r="I22" s="163"/>
      <c r="J22" s="164">
        <f t="shared" ref="J22:J29" si="0">M7*D7</f>
        <v>86.862106406080358</v>
      </c>
      <c r="K22" s="165"/>
      <c r="M22" s="55" t="s">
        <v>5</v>
      </c>
      <c r="N22" s="54" t="s">
        <v>116</v>
      </c>
    </row>
    <row r="23" spans="1:14" x14ac:dyDescent="0.3">
      <c r="A23" s="127" t="s">
        <v>103</v>
      </c>
      <c r="B23" s="163">
        <f>D8*E8</f>
        <v>2187.5000000000005</v>
      </c>
      <c r="C23" s="163"/>
      <c r="D23" s="163">
        <f>D8*G8</f>
        <v>709.21052631578959</v>
      </c>
      <c r="E23" s="163"/>
      <c r="F23" s="163">
        <f>D8*I8</f>
        <v>1298.6842105263158</v>
      </c>
      <c r="G23" s="163"/>
      <c r="H23" s="163">
        <f>K8*D8</f>
        <v>709.21052631578959</v>
      </c>
      <c r="I23" s="163"/>
      <c r="J23" s="164">
        <f t="shared" si="0"/>
        <v>285.01628664495115</v>
      </c>
      <c r="K23" s="165"/>
      <c r="M23" s="55" t="s">
        <v>117</v>
      </c>
      <c r="N23" s="111">
        <f>24000/3.44</f>
        <v>6976.7441860465115</v>
      </c>
    </row>
    <row r="24" spans="1:14" x14ac:dyDescent="0.3">
      <c r="A24" s="127" t="s">
        <v>104</v>
      </c>
      <c r="B24" s="148" t="s">
        <v>81</v>
      </c>
      <c r="C24" s="148"/>
      <c r="D24" s="163">
        <f>D9*G9</f>
        <v>4932</v>
      </c>
      <c r="E24" s="163"/>
      <c r="F24" s="163">
        <f>D9*I9</f>
        <v>4932</v>
      </c>
      <c r="G24" s="163"/>
      <c r="H24" s="163">
        <f>K9*D9</f>
        <v>4932</v>
      </c>
      <c r="I24" s="163"/>
      <c r="J24" s="164">
        <f t="shared" si="0"/>
        <v>4932</v>
      </c>
      <c r="K24" s="165"/>
      <c r="M24" s="55" t="s">
        <v>118</v>
      </c>
      <c r="N24" s="129">
        <f>N23/500*1200</f>
        <v>16744.186046511626</v>
      </c>
    </row>
    <row r="25" spans="1:14" x14ac:dyDescent="0.3">
      <c r="A25" s="127" t="s">
        <v>105</v>
      </c>
      <c r="B25" s="148">
        <f>D10*12</f>
        <v>7896</v>
      </c>
      <c r="C25" s="148"/>
      <c r="D25" s="148" t="s">
        <v>81</v>
      </c>
      <c r="E25" s="148"/>
      <c r="F25" s="148" t="s">
        <v>81</v>
      </c>
      <c r="G25" s="148"/>
      <c r="H25" s="148" t="s">
        <v>81</v>
      </c>
      <c r="I25" s="148"/>
      <c r="J25" s="164" t="s">
        <v>81</v>
      </c>
      <c r="K25" s="165"/>
    </row>
    <row r="26" spans="1:14" x14ac:dyDescent="0.3">
      <c r="A26" s="127" t="s">
        <v>106</v>
      </c>
      <c r="B26" s="163">
        <f>D11*E11</f>
        <v>1391.40625</v>
      </c>
      <c r="C26" s="163"/>
      <c r="D26" s="163">
        <f>D11*G11</f>
        <v>555.21052631578959</v>
      </c>
      <c r="E26" s="163"/>
      <c r="F26" s="163">
        <f>D11*I11</f>
        <v>764.31578947368428</v>
      </c>
      <c r="G26" s="163"/>
      <c r="H26" s="163">
        <f>K11*D11</f>
        <v>659.3125</v>
      </c>
      <c r="I26" s="163"/>
      <c r="J26" s="164">
        <f t="shared" si="0"/>
        <v>219.20000000000002</v>
      </c>
      <c r="K26" s="165"/>
    </row>
    <row r="27" spans="1:14" x14ac:dyDescent="0.3">
      <c r="A27" s="127" t="s">
        <v>107</v>
      </c>
      <c r="B27" s="163">
        <f>D12*E12</f>
        <v>6073.4375</v>
      </c>
      <c r="C27" s="163"/>
      <c r="D27" s="163">
        <f>D12*G12</f>
        <v>2423.4736842105267</v>
      </c>
      <c r="E27" s="163"/>
      <c r="F27" s="163">
        <f>D12*I12</f>
        <v>3336.2105263157896</v>
      </c>
      <c r="G27" s="163"/>
      <c r="H27" s="163">
        <f>K12*D12</f>
        <v>2877.875</v>
      </c>
      <c r="I27" s="163"/>
      <c r="J27" s="164">
        <f t="shared" si="0"/>
        <v>956.80000000000007</v>
      </c>
      <c r="K27" s="165"/>
    </row>
    <row r="28" spans="1:14" x14ac:dyDescent="0.3">
      <c r="A28" s="127" t="s">
        <v>108</v>
      </c>
      <c r="B28" s="163">
        <f>D13*E13</f>
        <v>69.599999999999994</v>
      </c>
      <c r="C28" s="163"/>
      <c r="D28" s="163">
        <f>D13*G13</f>
        <v>69.599999999999994</v>
      </c>
      <c r="E28" s="163"/>
      <c r="F28" s="163">
        <f>D13*I13</f>
        <v>69.599999999999994</v>
      </c>
      <c r="G28" s="163"/>
      <c r="H28" s="163">
        <f>K13*D13</f>
        <v>69.599999999999994</v>
      </c>
      <c r="I28" s="163"/>
      <c r="J28" s="164">
        <f t="shared" si="0"/>
        <v>69.599999999999994</v>
      </c>
      <c r="K28" s="165"/>
    </row>
    <row r="29" spans="1:14" x14ac:dyDescent="0.3">
      <c r="A29" s="127" t="s">
        <v>109</v>
      </c>
      <c r="B29" s="163">
        <f>D14*E14</f>
        <v>139.39999999999998</v>
      </c>
      <c r="C29" s="163"/>
      <c r="D29" s="163">
        <f>D14*G14</f>
        <v>163.19999999999999</v>
      </c>
      <c r="E29" s="163"/>
      <c r="F29" s="163">
        <f>D14*I14</f>
        <v>189.68421052631581</v>
      </c>
      <c r="G29" s="163"/>
      <c r="H29" s="163">
        <f>K14*D14</f>
        <v>163.625</v>
      </c>
      <c r="I29" s="163"/>
      <c r="J29" s="164">
        <f t="shared" si="0"/>
        <v>54.400000000000006</v>
      </c>
      <c r="K29" s="165"/>
    </row>
    <row r="30" spans="1:14" x14ac:dyDescent="0.3">
      <c r="A30" s="127" t="s">
        <v>26</v>
      </c>
      <c r="B30" s="163">
        <f>SUM(B19,B20,B22,B23,B25,B26,B27,B28)</f>
        <v>63031.110416666663</v>
      </c>
      <c r="C30" s="163"/>
      <c r="D30" s="163">
        <f t="shared" ref="D30:H30" si="1">SUM(C18:D28)</f>
        <v>24280.6350877193</v>
      </c>
      <c r="E30" s="163"/>
      <c r="F30" s="163">
        <f t="shared" si="1"/>
        <v>37883.599999999999</v>
      </c>
      <c r="G30" s="163"/>
      <c r="H30" s="163">
        <f t="shared" si="1"/>
        <v>24839.138377192983</v>
      </c>
      <c r="I30" s="163"/>
      <c r="J30" s="164">
        <f>SUM(J19:K22)</f>
        <v>7033.7285559174816</v>
      </c>
      <c r="K30" s="165"/>
    </row>
    <row r="31" spans="1:14" ht="15" thickBot="1" x14ac:dyDescent="0.35">
      <c r="A31" s="130" t="s">
        <v>119</v>
      </c>
      <c r="B31" s="131"/>
      <c r="C31" s="132">
        <f>B30+3703</f>
        <v>66734.110416666663</v>
      </c>
      <c r="D31" s="157">
        <f>3702+D30</f>
        <v>27982.6350877193</v>
      </c>
      <c r="E31" s="158"/>
      <c r="F31" s="157">
        <f>F30+3702</f>
        <v>41585.599999999999</v>
      </c>
      <c r="G31" s="158"/>
      <c r="H31" s="157">
        <f>H30+3702</f>
        <v>28541.138377192983</v>
      </c>
      <c r="I31" s="158"/>
      <c r="J31" s="157">
        <f>J30+D4+21000+2*D4</f>
        <v>38464.728555917478</v>
      </c>
      <c r="K31" s="159"/>
    </row>
    <row r="32" spans="1:14" x14ac:dyDescent="0.3">
      <c r="A32" s="100"/>
    </row>
    <row r="35" spans="1:11" ht="15" thickBot="1" x14ac:dyDescent="0.35"/>
    <row r="36" spans="1:11" x14ac:dyDescent="0.3">
      <c r="A36" s="133" t="s">
        <v>91</v>
      </c>
      <c r="B36" s="134"/>
      <c r="C36" s="160" t="s">
        <v>120</v>
      </c>
      <c r="D36" s="160"/>
      <c r="E36" s="160"/>
      <c r="F36" s="160"/>
      <c r="G36" s="160"/>
      <c r="H36" s="161"/>
      <c r="J36" s="73"/>
      <c r="K36" s="62" t="s">
        <v>88</v>
      </c>
    </row>
    <row r="37" spans="1:11" x14ac:dyDescent="0.3">
      <c r="A37" s="19"/>
      <c r="B37" s="55"/>
      <c r="C37" s="54" t="s">
        <v>93</v>
      </c>
      <c r="D37" s="54" t="s">
        <v>94</v>
      </c>
      <c r="E37" s="147" t="s">
        <v>95</v>
      </c>
      <c r="F37" s="147"/>
      <c r="G37" s="147" t="s">
        <v>121</v>
      </c>
      <c r="H37" s="162"/>
      <c r="J37" s="6" t="s">
        <v>0</v>
      </c>
      <c r="K37" s="74">
        <v>66734</v>
      </c>
    </row>
    <row r="38" spans="1:11" x14ac:dyDescent="0.3">
      <c r="A38" s="135" t="s">
        <v>96</v>
      </c>
      <c r="B38" s="117"/>
      <c r="C38" s="136"/>
      <c r="D38" s="136"/>
      <c r="E38" s="155"/>
      <c r="F38" s="155"/>
      <c r="G38" s="155"/>
      <c r="H38" s="156"/>
      <c r="I38" s="81"/>
      <c r="J38" s="6" t="s">
        <v>29</v>
      </c>
      <c r="K38" s="74">
        <v>27982</v>
      </c>
    </row>
    <row r="39" spans="1:11" x14ac:dyDescent="0.3">
      <c r="A39" s="127" t="s">
        <v>102</v>
      </c>
      <c r="B39" s="55"/>
      <c r="C39" s="137" t="s">
        <v>98</v>
      </c>
      <c r="D39" s="54">
        <v>3702</v>
      </c>
      <c r="E39" s="147">
        <v>10</v>
      </c>
      <c r="F39" s="147"/>
      <c r="G39" s="148">
        <f>D39*E39</f>
        <v>37020</v>
      </c>
      <c r="H39" s="149"/>
      <c r="J39" s="6" t="s">
        <v>39</v>
      </c>
      <c r="K39" s="74">
        <v>41585</v>
      </c>
    </row>
    <row r="40" spans="1:11" x14ac:dyDescent="0.3">
      <c r="A40" s="19" t="s">
        <v>103</v>
      </c>
      <c r="B40" s="55"/>
      <c r="C40" s="137" t="s">
        <v>98</v>
      </c>
      <c r="D40" s="54">
        <v>3569</v>
      </c>
      <c r="E40" s="147">
        <v>22.5</v>
      </c>
      <c r="F40" s="147"/>
      <c r="G40" s="148">
        <f t="shared" ref="G40:G50" si="2">D40*E40</f>
        <v>80302.5</v>
      </c>
      <c r="H40" s="149"/>
      <c r="J40" s="6" t="s">
        <v>48</v>
      </c>
      <c r="K40" s="74">
        <v>28541</v>
      </c>
    </row>
    <row r="41" spans="1:11" x14ac:dyDescent="0.3">
      <c r="A41" s="127" t="s">
        <v>99</v>
      </c>
      <c r="B41" s="138"/>
      <c r="C41" s="137" t="s">
        <v>100</v>
      </c>
      <c r="D41" s="137">
        <v>107</v>
      </c>
      <c r="E41" s="147">
        <v>12</v>
      </c>
      <c r="F41" s="147"/>
      <c r="G41" s="148">
        <f t="shared" si="2"/>
        <v>1284</v>
      </c>
      <c r="H41" s="149"/>
      <c r="I41" s="92"/>
      <c r="J41" s="6" t="s">
        <v>51</v>
      </c>
      <c r="K41" s="74">
        <v>38464</v>
      </c>
    </row>
    <row r="42" spans="1:11" ht="15" thickBot="1" x14ac:dyDescent="0.35">
      <c r="A42" s="139" t="s">
        <v>101</v>
      </c>
      <c r="B42" s="55"/>
      <c r="C42" s="54"/>
      <c r="D42" s="54"/>
      <c r="E42" s="155"/>
      <c r="F42" s="155"/>
      <c r="G42" s="148">
        <f t="shared" si="2"/>
        <v>0</v>
      </c>
      <c r="H42" s="149"/>
      <c r="J42" s="76" t="s">
        <v>60</v>
      </c>
      <c r="K42" s="77">
        <v>179126</v>
      </c>
    </row>
    <row r="43" spans="1:11" x14ac:dyDescent="0.3">
      <c r="A43" s="127" t="s">
        <v>102</v>
      </c>
      <c r="B43" s="55"/>
      <c r="C43" s="137" t="s">
        <v>98</v>
      </c>
      <c r="D43" s="54">
        <v>2061</v>
      </c>
      <c r="E43" s="147">
        <v>10</v>
      </c>
      <c r="F43" s="147"/>
      <c r="G43" s="148">
        <f t="shared" si="2"/>
        <v>20610</v>
      </c>
      <c r="H43" s="149"/>
    </row>
    <row r="44" spans="1:11" x14ac:dyDescent="0.3">
      <c r="A44" s="127" t="s">
        <v>103</v>
      </c>
      <c r="B44" s="55"/>
      <c r="C44" s="137" t="s">
        <v>98</v>
      </c>
      <c r="D44" s="54">
        <v>210</v>
      </c>
      <c r="E44" s="147">
        <v>22.5</v>
      </c>
      <c r="F44" s="147"/>
      <c r="G44" s="148">
        <f t="shared" si="2"/>
        <v>4725</v>
      </c>
      <c r="H44" s="149"/>
    </row>
    <row r="45" spans="1:11" x14ac:dyDescent="0.3">
      <c r="A45" s="127" t="s">
        <v>104</v>
      </c>
      <c r="B45" s="55"/>
      <c r="C45" s="137" t="s">
        <v>100</v>
      </c>
      <c r="D45" s="54">
        <v>187</v>
      </c>
      <c r="E45" s="147">
        <v>12</v>
      </c>
      <c r="F45" s="147"/>
      <c r="G45" s="148">
        <f t="shared" si="2"/>
        <v>2244</v>
      </c>
      <c r="H45" s="149"/>
    </row>
    <row r="46" spans="1:11" x14ac:dyDescent="0.3">
      <c r="A46" s="127" t="s">
        <v>105</v>
      </c>
      <c r="B46" s="55"/>
      <c r="C46" s="137" t="s">
        <v>100</v>
      </c>
      <c r="D46" s="54" t="s">
        <v>81</v>
      </c>
      <c r="E46" s="155"/>
      <c r="F46" s="155"/>
      <c r="G46" s="148">
        <v>0</v>
      </c>
      <c r="H46" s="149"/>
    </row>
    <row r="47" spans="1:11" x14ac:dyDescent="0.3">
      <c r="A47" s="127" t="s">
        <v>106</v>
      </c>
      <c r="B47" s="55"/>
      <c r="C47" s="137" t="s">
        <v>98</v>
      </c>
      <c r="D47" s="54">
        <v>137</v>
      </c>
      <c r="E47" s="147">
        <v>32.5</v>
      </c>
      <c r="F47" s="147"/>
      <c r="G47" s="148">
        <f t="shared" si="2"/>
        <v>4452.5</v>
      </c>
      <c r="H47" s="149"/>
    </row>
    <row r="48" spans="1:11" x14ac:dyDescent="0.3">
      <c r="A48" s="127" t="s">
        <v>107</v>
      </c>
      <c r="B48" s="55"/>
      <c r="C48" s="137" t="s">
        <v>98</v>
      </c>
      <c r="D48" s="54">
        <v>598</v>
      </c>
      <c r="E48" s="147">
        <v>32.5</v>
      </c>
      <c r="F48" s="147"/>
      <c r="G48" s="148">
        <f t="shared" si="2"/>
        <v>19435</v>
      </c>
      <c r="H48" s="149"/>
    </row>
    <row r="49" spans="1:8" x14ac:dyDescent="0.3">
      <c r="A49" s="127" t="s">
        <v>108</v>
      </c>
      <c r="B49" s="55"/>
      <c r="C49" s="137" t="s">
        <v>100</v>
      </c>
      <c r="D49" s="54">
        <v>5</v>
      </c>
      <c r="E49" s="147">
        <v>12</v>
      </c>
      <c r="F49" s="147"/>
      <c r="G49" s="148">
        <f t="shared" si="2"/>
        <v>60</v>
      </c>
      <c r="H49" s="149"/>
    </row>
    <row r="50" spans="1:8" x14ac:dyDescent="0.3">
      <c r="A50" s="127" t="s">
        <v>122</v>
      </c>
      <c r="B50" s="55"/>
      <c r="C50" s="137" t="s">
        <v>98</v>
      </c>
      <c r="D50" s="54">
        <v>34</v>
      </c>
      <c r="E50" s="147">
        <v>32.5</v>
      </c>
      <c r="F50" s="147"/>
      <c r="G50" s="148">
        <f t="shared" si="2"/>
        <v>1105</v>
      </c>
      <c r="H50" s="149"/>
    </row>
    <row r="51" spans="1:8" x14ac:dyDescent="0.3">
      <c r="A51" s="127" t="s">
        <v>26</v>
      </c>
      <c r="B51" s="55"/>
      <c r="C51" s="54"/>
      <c r="D51" s="54"/>
      <c r="E51" s="147"/>
      <c r="F51" s="147"/>
      <c r="G51" s="150">
        <f>SUM(G39:H50)</f>
        <v>171238</v>
      </c>
      <c r="H51" s="151"/>
    </row>
    <row r="52" spans="1:8" x14ac:dyDescent="0.3">
      <c r="A52" s="140" t="s">
        <v>123</v>
      </c>
      <c r="C52" s="141" t="s">
        <v>98</v>
      </c>
      <c r="D52" s="142">
        <v>523</v>
      </c>
      <c r="E52" s="152">
        <v>8</v>
      </c>
      <c r="F52" s="153"/>
      <c r="G52" s="154">
        <v>4186</v>
      </c>
      <c r="H52" s="154"/>
    </row>
    <row r="53" spans="1:8" ht="15" thickBot="1" x14ac:dyDescent="0.35">
      <c r="A53" s="143" t="s">
        <v>119</v>
      </c>
      <c r="B53" s="131"/>
      <c r="C53" s="70"/>
      <c r="D53" s="70"/>
      <c r="E53" s="144"/>
      <c r="F53" s="144"/>
      <c r="G53" s="145">
        <f>G51+D39+G52</f>
        <v>179126</v>
      </c>
      <c r="H53" s="146"/>
    </row>
  </sheetData>
  <mergeCells count="165">
    <mergeCell ref="A1:B1"/>
    <mergeCell ref="E1:F1"/>
    <mergeCell ref="G1:H1"/>
    <mergeCell ref="I1:J1"/>
    <mergeCell ref="K1:L1"/>
    <mergeCell ref="E2:M2"/>
    <mergeCell ref="A5:B5"/>
    <mergeCell ref="E5:F5"/>
    <mergeCell ref="G5:H5"/>
    <mergeCell ref="I5:J5"/>
    <mergeCell ref="K5:L5"/>
    <mergeCell ref="A6:B6"/>
    <mergeCell ref="A3:B3"/>
    <mergeCell ref="A4:B4"/>
    <mergeCell ref="E4:F4"/>
    <mergeCell ref="G4:H4"/>
    <mergeCell ref="I4:J4"/>
    <mergeCell ref="K4:L4"/>
    <mergeCell ref="A7:B7"/>
    <mergeCell ref="E7:F7"/>
    <mergeCell ref="G7:H7"/>
    <mergeCell ref="I7:J7"/>
    <mergeCell ref="K7:L7"/>
    <mergeCell ref="A8:B8"/>
    <mergeCell ref="E8:F8"/>
    <mergeCell ref="G8:H8"/>
    <mergeCell ref="I8:J8"/>
    <mergeCell ref="K8:L8"/>
    <mergeCell ref="A9:B9"/>
    <mergeCell ref="E9:F9"/>
    <mergeCell ref="G9:H9"/>
    <mergeCell ref="I9:J9"/>
    <mergeCell ref="K9:L9"/>
    <mergeCell ref="A10:B10"/>
    <mergeCell ref="E10:F10"/>
    <mergeCell ref="G10:H10"/>
    <mergeCell ref="I10:J10"/>
    <mergeCell ref="K10:L10"/>
    <mergeCell ref="A11:B11"/>
    <mergeCell ref="E11:F11"/>
    <mergeCell ref="G11:H11"/>
    <mergeCell ref="I11:J11"/>
    <mergeCell ref="K11:L11"/>
    <mergeCell ref="A12:B12"/>
    <mergeCell ref="E12:F12"/>
    <mergeCell ref="G12:H12"/>
    <mergeCell ref="I12:J12"/>
    <mergeCell ref="K12:L12"/>
    <mergeCell ref="A13:B13"/>
    <mergeCell ref="E13:F13"/>
    <mergeCell ref="G13:H13"/>
    <mergeCell ref="I13:J13"/>
    <mergeCell ref="K13:L13"/>
    <mergeCell ref="A14:B14"/>
    <mergeCell ref="E14:F14"/>
    <mergeCell ref="G14:H14"/>
    <mergeCell ref="I14:J14"/>
    <mergeCell ref="K14:L14"/>
    <mergeCell ref="B17:C17"/>
    <mergeCell ref="D17:E17"/>
    <mergeCell ref="F17:G17"/>
    <mergeCell ref="H17:I17"/>
    <mergeCell ref="J17:K17"/>
    <mergeCell ref="A18:K18"/>
    <mergeCell ref="G15:H15"/>
    <mergeCell ref="I15:J15"/>
    <mergeCell ref="K15:L15"/>
    <mergeCell ref="G16:H16"/>
    <mergeCell ref="I16:J16"/>
    <mergeCell ref="K16:L16"/>
    <mergeCell ref="A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31:K31"/>
    <mergeCell ref="C36:H36"/>
    <mergeCell ref="E37:F37"/>
    <mergeCell ref="G37:H37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E38:F38"/>
    <mergeCell ref="G38:H38"/>
    <mergeCell ref="E39:F39"/>
    <mergeCell ref="G39:H39"/>
    <mergeCell ref="E40:F40"/>
    <mergeCell ref="G40:H40"/>
    <mergeCell ref="D31:E31"/>
    <mergeCell ref="F31:G31"/>
    <mergeCell ref="H31:I31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53:F53"/>
    <mergeCell ref="G53:H53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1883-EB5E-456B-88EB-4DDBEB6F6D82}">
  <dimension ref="A1:AH205"/>
  <sheetViews>
    <sheetView tabSelected="1" topLeftCell="A50" zoomScale="50" zoomScaleNormal="50" workbookViewId="0">
      <selection activeCell="M91" sqref="M91"/>
    </sheetView>
  </sheetViews>
  <sheetFormatPr defaultRowHeight="14.4" x14ac:dyDescent="0.3"/>
  <cols>
    <col min="1" max="1" width="27.5546875" customWidth="1"/>
    <col min="2" max="2" width="20.33203125" customWidth="1"/>
    <col min="3" max="3" width="22.21875" customWidth="1"/>
    <col min="4" max="4" width="16.5546875" customWidth="1"/>
    <col min="5" max="5" width="15.88671875" customWidth="1"/>
    <col min="6" max="6" width="13.44140625" customWidth="1"/>
    <col min="7" max="7" width="18.33203125" customWidth="1"/>
    <col min="8" max="8" width="16.33203125" customWidth="1"/>
    <col min="9" max="9" width="14.44140625" customWidth="1"/>
    <col min="10" max="10" width="17.77734375" customWidth="1"/>
    <col min="11" max="11" width="17.21875" customWidth="1"/>
    <col min="12" max="12" width="15.88671875" customWidth="1"/>
    <col min="13" max="13" width="13.6640625" customWidth="1"/>
    <col min="14" max="14" width="14.77734375" customWidth="1"/>
    <col min="16" max="16" width="18.109375" customWidth="1"/>
    <col min="17" max="17" width="16.5546875" customWidth="1"/>
    <col min="18" max="18" width="13.44140625" customWidth="1"/>
    <col min="19" max="19" width="17" customWidth="1"/>
    <col min="34" max="34" width="8.44140625" customWidth="1"/>
  </cols>
  <sheetData>
    <row r="1" spans="1:34" ht="18" x14ac:dyDescent="0.35">
      <c r="A1" s="1" t="s">
        <v>0</v>
      </c>
      <c r="B1" s="2"/>
      <c r="C1" s="3" t="s">
        <v>1</v>
      </c>
      <c r="D1" s="4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4">
        <v>25</v>
      </c>
      <c r="AD1" s="4">
        <v>26</v>
      </c>
      <c r="AE1" s="4">
        <v>27</v>
      </c>
      <c r="AF1" s="4">
        <v>28</v>
      </c>
      <c r="AG1" s="4">
        <v>29</v>
      </c>
      <c r="AH1" s="5">
        <v>30</v>
      </c>
    </row>
    <row r="2" spans="1:34" x14ac:dyDescent="0.3">
      <c r="A2" s="6" t="s">
        <v>2</v>
      </c>
      <c r="B2" s="7" t="s">
        <v>3</v>
      </c>
      <c r="C2" s="104" t="s">
        <v>4</v>
      </c>
      <c r="D2" s="105">
        <f>B10</f>
        <v>365100</v>
      </c>
      <c r="E2" s="103">
        <f>66734+2500</f>
        <v>69234</v>
      </c>
      <c r="F2" s="103">
        <f>66734+2500</f>
        <v>69234</v>
      </c>
      <c r="G2" s="103">
        <f t="shared" ref="G2:AG2" si="0">66734+2500</f>
        <v>69234</v>
      </c>
      <c r="H2" s="103">
        <f t="shared" si="0"/>
        <v>69234</v>
      </c>
      <c r="I2" s="103">
        <f t="shared" si="0"/>
        <v>69234</v>
      </c>
      <c r="J2" s="103">
        <f t="shared" si="0"/>
        <v>69234</v>
      </c>
      <c r="K2" s="103">
        <f t="shared" si="0"/>
        <v>69234</v>
      </c>
      <c r="L2" s="103">
        <f t="shared" si="0"/>
        <v>69234</v>
      </c>
      <c r="M2" s="103">
        <f t="shared" si="0"/>
        <v>69234</v>
      </c>
      <c r="N2" s="103">
        <f t="shared" si="0"/>
        <v>69234</v>
      </c>
      <c r="O2" s="103">
        <f t="shared" si="0"/>
        <v>69234</v>
      </c>
      <c r="P2" s="103">
        <f t="shared" si="0"/>
        <v>69234</v>
      </c>
      <c r="Q2" s="103">
        <f t="shared" si="0"/>
        <v>69234</v>
      </c>
      <c r="R2" s="103">
        <f>66734+2500</f>
        <v>69234</v>
      </c>
      <c r="S2" s="103">
        <f>66734+2500-43048</f>
        <v>26186</v>
      </c>
      <c r="T2" s="103">
        <f t="shared" si="0"/>
        <v>69234</v>
      </c>
      <c r="U2" s="103">
        <f t="shared" si="0"/>
        <v>69234</v>
      </c>
      <c r="V2" s="103">
        <f t="shared" si="0"/>
        <v>69234</v>
      </c>
      <c r="W2" s="103">
        <f t="shared" si="0"/>
        <v>69234</v>
      </c>
      <c r="X2" s="103">
        <f t="shared" si="0"/>
        <v>69234</v>
      </c>
      <c r="Y2" s="103">
        <f t="shared" si="0"/>
        <v>69234</v>
      </c>
      <c r="Z2" s="103">
        <f t="shared" si="0"/>
        <v>69234</v>
      </c>
      <c r="AA2" s="103">
        <f t="shared" si="0"/>
        <v>69234</v>
      </c>
      <c r="AB2" s="103">
        <f t="shared" si="0"/>
        <v>69234</v>
      </c>
      <c r="AC2" s="103">
        <f t="shared" si="0"/>
        <v>69234</v>
      </c>
      <c r="AD2" s="103">
        <f t="shared" si="0"/>
        <v>69234</v>
      </c>
      <c r="AE2" s="103">
        <f t="shared" si="0"/>
        <v>69234</v>
      </c>
      <c r="AF2" s="103">
        <f t="shared" si="0"/>
        <v>69234</v>
      </c>
      <c r="AG2" s="103">
        <f t="shared" si="0"/>
        <v>69234</v>
      </c>
      <c r="AH2" s="14">
        <f>66734+2500-12794</f>
        <v>56440</v>
      </c>
    </row>
    <row r="3" spans="1:34" ht="15" thickBot="1" x14ac:dyDescent="0.35">
      <c r="A3" s="9" t="s">
        <v>5</v>
      </c>
      <c r="B3" s="10" t="s">
        <v>6</v>
      </c>
      <c r="C3" s="103">
        <v>0.02</v>
      </c>
      <c r="D3" s="106" t="s">
        <v>7</v>
      </c>
      <c r="E3" s="12">
        <f>(NPV(C3,D$2:S$2))</f>
        <v>1198745.6971590174</v>
      </c>
      <c r="F3" s="106" t="s">
        <v>8</v>
      </c>
      <c r="G3" s="107">
        <f>NPV(0.02,E2:R2,S3,T2:AH2)</f>
        <v>1654985.5271966353</v>
      </c>
      <c r="H3" s="106" t="s">
        <v>9</v>
      </c>
      <c r="I3" s="105">
        <f>E3*(0.02/((1-(1+0.02)^-15)))</f>
        <v>93292.949989348708</v>
      </c>
      <c r="J3" s="103"/>
      <c r="K3" s="103"/>
      <c r="L3" s="103"/>
      <c r="M3" s="103"/>
      <c r="N3" s="103"/>
      <c r="O3" s="103"/>
      <c r="P3" s="103"/>
      <c r="Q3" s="103"/>
      <c r="R3" s="103" t="s">
        <v>10</v>
      </c>
      <c r="S3" s="105">
        <f>S2+150000+B104</f>
        <v>219234.41591870983</v>
      </c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4"/>
    </row>
    <row r="4" spans="1:34" ht="15" thickTop="1" x14ac:dyDescent="0.3">
      <c r="A4" s="15" t="s">
        <v>11</v>
      </c>
      <c r="B4" s="16" t="s">
        <v>12</v>
      </c>
      <c r="C4" s="103">
        <v>0.03</v>
      </c>
      <c r="D4" s="103" t="s">
        <v>13</v>
      </c>
      <c r="E4" s="12">
        <f t="shared" ref="E4:E11" si="1">(NPV(C4,D$2:S$2))</f>
        <v>1130077.7909575931</v>
      </c>
      <c r="F4" s="104" t="s">
        <v>16</v>
      </c>
      <c r="G4" s="18">
        <f>D2</f>
        <v>365100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4"/>
    </row>
    <row r="5" spans="1:34" x14ac:dyDescent="0.3">
      <c r="A5" s="6" t="s">
        <v>14</v>
      </c>
      <c r="B5" s="17">
        <v>352400</v>
      </c>
      <c r="C5" s="103">
        <v>0.04</v>
      </c>
      <c r="D5" s="103" t="s">
        <v>15</v>
      </c>
      <c r="E5" s="12">
        <f t="shared" si="1"/>
        <v>1068237.8934287755</v>
      </c>
      <c r="F5" s="20" t="s">
        <v>19</v>
      </c>
      <c r="G5" s="18">
        <v>2500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4"/>
    </row>
    <row r="6" spans="1:34" x14ac:dyDescent="0.3">
      <c r="A6" s="19" t="s">
        <v>17</v>
      </c>
      <c r="B6" s="7">
        <v>3.2</v>
      </c>
      <c r="C6" s="103">
        <v>0.05</v>
      </c>
      <c r="D6" s="103" t="s">
        <v>18</v>
      </c>
      <c r="E6" s="12">
        <f t="shared" si="1"/>
        <v>1012398.4957874047</v>
      </c>
      <c r="F6" s="104" t="s">
        <v>10</v>
      </c>
      <c r="G6" s="18">
        <f>S3</f>
        <v>219234.41591870983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4"/>
    </row>
    <row r="7" spans="1:34" x14ac:dyDescent="0.3">
      <c r="A7" s="6" t="s">
        <v>20</v>
      </c>
      <c r="B7" s="17">
        <v>92700</v>
      </c>
      <c r="C7" s="103">
        <v>0.06</v>
      </c>
      <c r="D7" s="103" t="s">
        <v>21</v>
      </c>
      <c r="E7" s="12">
        <f t="shared" si="1"/>
        <v>961844.73592709028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4"/>
    </row>
    <row r="8" spans="1:34" x14ac:dyDescent="0.3">
      <c r="A8" s="6" t="s">
        <v>22</v>
      </c>
      <c r="B8" s="17">
        <v>50000</v>
      </c>
      <c r="C8" s="103">
        <v>7.0000000000000007E-2</v>
      </c>
      <c r="D8" s="103" t="s">
        <v>23</v>
      </c>
      <c r="E8" s="12">
        <f t="shared" si="1"/>
        <v>915957.70278145978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4"/>
    </row>
    <row r="9" spans="1:34" x14ac:dyDescent="0.3">
      <c r="A9" s="6" t="s">
        <v>24</v>
      </c>
      <c r="B9" s="17">
        <v>130000</v>
      </c>
      <c r="C9" s="103">
        <v>0.08</v>
      </c>
      <c r="D9" s="103" t="s">
        <v>25</v>
      </c>
      <c r="E9" s="12">
        <f t="shared" si="1"/>
        <v>874200.39126344677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4"/>
    </row>
    <row r="10" spans="1:34" ht="15" thickBot="1" x14ac:dyDescent="0.35">
      <c r="A10" s="21" t="s">
        <v>26</v>
      </c>
      <c r="B10" s="22">
        <f>SUM(B5+B7+B8)-B9</f>
        <v>365100</v>
      </c>
      <c r="C10" s="103">
        <v>0.09</v>
      </c>
      <c r="D10" s="103" t="s">
        <v>27</v>
      </c>
      <c r="E10" s="12">
        <f t="shared" si="1"/>
        <v>836105.86160557938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4"/>
    </row>
    <row r="11" spans="1:34" ht="15" thickBot="1" x14ac:dyDescent="0.35">
      <c r="A11" s="23"/>
      <c r="B11" s="24"/>
      <c r="C11" s="24">
        <v>0.1</v>
      </c>
      <c r="D11" s="24" t="s">
        <v>28</v>
      </c>
      <c r="E11" s="25">
        <f t="shared" si="1"/>
        <v>801267.23599864484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6"/>
    </row>
    <row r="12" spans="1:34" ht="15" thickBot="1" x14ac:dyDescent="0.3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6"/>
    </row>
    <row r="13" spans="1:34" ht="18" x14ac:dyDescent="0.35">
      <c r="A13" s="1" t="s">
        <v>29</v>
      </c>
      <c r="B13" s="2"/>
      <c r="C13" s="3" t="s">
        <v>1</v>
      </c>
      <c r="D13" s="4">
        <v>0</v>
      </c>
      <c r="E13" s="4">
        <v>1</v>
      </c>
      <c r="F13" s="4">
        <v>2</v>
      </c>
      <c r="G13" s="4">
        <v>3</v>
      </c>
      <c r="H13" s="4">
        <v>4</v>
      </c>
      <c r="I13" s="4">
        <v>5</v>
      </c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4">
        <v>11</v>
      </c>
      <c r="P13" s="4">
        <v>12</v>
      </c>
      <c r="Q13" s="4">
        <v>13</v>
      </c>
      <c r="R13" s="4">
        <v>14</v>
      </c>
      <c r="S13" s="4">
        <v>15</v>
      </c>
      <c r="T13" s="4">
        <v>16</v>
      </c>
      <c r="U13" s="4">
        <v>17</v>
      </c>
      <c r="V13" s="4">
        <v>18</v>
      </c>
      <c r="W13" s="4">
        <v>19</v>
      </c>
      <c r="X13" s="4">
        <v>20</v>
      </c>
      <c r="Y13" s="4">
        <v>21</v>
      </c>
      <c r="Z13" s="4">
        <v>22</v>
      </c>
      <c r="AA13" s="4">
        <v>23</v>
      </c>
      <c r="AB13" s="4">
        <v>24</v>
      </c>
      <c r="AC13" s="4">
        <v>25</v>
      </c>
      <c r="AD13" s="4">
        <v>26</v>
      </c>
      <c r="AE13" s="4">
        <v>27</v>
      </c>
      <c r="AF13" s="4">
        <v>28</v>
      </c>
      <c r="AG13" s="4">
        <v>29</v>
      </c>
      <c r="AH13" s="5">
        <v>30</v>
      </c>
    </row>
    <row r="14" spans="1:34" x14ac:dyDescent="0.3">
      <c r="A14" s="6" t="s">
        <v>2</v>
      </c>
      <c r="B14" s="7" t="s">
        <v>30</v>
      </c>
      <c r="C14" s="104" t="s">
        <v>4</v>
      </c>
      <c r="D14" s="105">
        <f>B27</f>
        <v>762015</v>
      </c>
      <c r="E14" s="103">
        <f>27982+2500</f>
        <v>30482</v>
      </c>
      <c r="F14" s="103">
        <f t="shared" ref="F14:AG14" si="2">27982+2500</f>
        <v>30482</v>
      </c>
      <c r="G14" s="103">
        <f t="shared" si="2"/>
        <v>30482</v>
      </c>
      <c r="H14" s="103">
        <f t="shared" si="2"/>
        <v>30482</v>
      </c>
      <c r="I14" s="103">
        <f t="shared" si="2"/>
        <v>30482</v>
      </c>
      <c r="J14" s="103">
        <f t="shared" si="2"/>
        <v>30482</v>
      </c>
      <c r="K14" s="103">
        <f t="shared" si="2"/>
        <v>30482</v>
      </c>
      <c r="L14" s="103">
        <f t="shared" si="2"/>
        <v>30482</v>
      </c>
      <c r="M14" s="103">
        <f t="shared" si="2"/>
        <v>30482</v>
      </c>
      <c r="N14" s="103">
        <f t="shared" si="2"/>
        <v>30482</v>
      </c>
      <c r="O14" s="103">
        <f t="shared" si="2"/>
        <v>30482</v>
      </c>
      <c r="P14" s="103">
        <f t="shared" si="2"/>
        <v>30482</v>
      </c>
      <c r="Q14" s="103">
        <f t="shared" si="2"/>
        <v>30482</v>
      </c>
      <c r="R14" s="103">
        <f t="shared" si="2"/>
        <v>30482</v>
      </c>
      <c r="S14" s="103">
        <f>27982+2500-305884</f>
        <v>-275402</v>
      </c>
      <c r="T14" s="103">
        <f t="shared" si="2"/>
        <v>30482</v>
      </c>
      <c r="U14" s="103">
        <f t="shared" si="2"/>
        <v>30482</v>
      </c>
      <c r="V14" s="103">
        <f t="shared" si="2"/>
        <v>30482</v>
      </c>
      <c r="W14" s="103">
        <f t="shared" si="2"/>
        <v>30482</v>
      </c>
      <c r="X14" s="103">
        <f t="shared" si="2"/>
        <v>30482</v>
      </c>
      <c r="Y14" s="103">
        <f t="shared" si="2"/>
        <v>30482</v>
      </c>
      <c r="Z14" s="103">
        <f t="shared" si="2"/>
        <v>30482</v>
      </c>
      <c r="AA14" s="103">
        <f t="shared" si="2"/>
        <v>30482</v>
      </c>
      <c r="AB14" s="103">
        <f t="shared" si="2"/>
        <v>30482</v>
      </c>
      <c r="AC14" s="103">
        <f t="shared" si="2"/>
        <v>30482</v>
      </c>
      <c r="AD14" s="103">
        <f t="shared" si="2"/>
        <v>30482</v>
      </c>
      <c r="AE14" s="103">
        <f t="shared" si="2"/>
        <v>30482</v>
      </c>
      <c r="AF14" s="103">
        <f t="shared" si="2"/>
        <v>30482</v>
      </c>
      <c r="AG14" s="103">
        <f t="shared" si="2"/>
        <v>30482</v>
      </c>
      <c r="AH14" s="14">
        <f>27982+2500</f>
        <v>30482</v>
      </c>
    </row>
    <row r="15" spans="1:34" ht="16.2" thickBot="1" x14ac:dyDescent="0.35">
      <c r="A15" s="9" t="s">
        <v>5</v>
      </c>
      <c r="B15" s="10">
        <v>15.4</v>
      </c>
      <c r="C15" s="103">
        <v>0.02</v>
      </c>
      <c r="D15" s="106" t="s">
        <v>7</v>
      </c>
      <c r="E15" s="107">
        <f t="shared" ref="E15:E23" si="3">NPV(C15,D$14:S$14)</f>
        <v>908245.03172224516</v>
      </c>
      <c r="F15" s="108" t="s">
        <v>8</v>
      </c>
      <c r="G15" s="107">
        <f>NPV(0.02,D14:R14,S15,T14:AH14)</f>
        <v>1503789.7310826848</v>
      </c>
      <c r="H15" s="108" t="s">
        <v>9</v>
      </c>
      <c r="I15" s="107">
        <f>E15*(0.02/((1-(1+0.02)^-15)))</f>
        <v>70684.598512721728</v>
      </c>
      <c r="J15" s="103"/>
      <c r="K15" s="103"/>
      <c r="L15" s="103"/>
      <c r="M15" s="103"/>
      <c r="N15" s="103"/>
      <c r="O15" s="103"/>
      <c r="P15" s="103"/>
      <c r="Q15" s="103"/>
      <c r="R15" s="103" t="s">
        <v>10</v>
      </c>
      <c r="S15" s="103">
        <f>120000+R14</f>
        <v>150482</v>
      </c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4"/>
    </row>
    <row r="16" spans="1:34" ht="15" thickTop="1" x14ac:dyDescent="0.3">
      <c r="A16" s="15" t="s">
        <v>11</v>
      </c>
      <c r="B16" s="16" t="s">
        <v>12</v>
      </c>
      <c r="C16" s="103">
        <v>0.03</v>
      </c>
      <c r="D16" s="103" t="s">
        <v>13</v>
      </c>
      <c r="E16" s="107">
        <f t="shared" si="3"/>
        <v>902496.92951224372</v>
      </c>
      <c r="F16" s="104" t="s">
        <v>16</v>
      </c>
      <c r="G16" s="20">
        <f>B27</f>
        <v>762015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4"/>
    </row>
    <row r="17" spans="1:34" x14ac:dyDescent="0.3">
      <c r="A17" s="6" t="s">
        <v>31</v>
      </c>
      <c r="B17" s="17">
        <v>42255</v>
      </c>
      <c r="C17" s="103">
        <v>0.04</v>
      </c>
      <c r="D17" s="103" t="s">
        <v>15</v>
      </c>
      <c r="E17" s="107">
        <f t="shared" si="3"/>
        <v>895268.42169173178</v>
      </c>
      <c r="F17" s="20" t="s">
        <v>19</v>
      </c>
      <c r="G17" s="20">
        <v>2500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4"/>
    </row>
    <row r="18" spans="1:34" x14ac:dyDescent="0.3">
      <c r="A18" s="6" t="s">
        <v>32</v>
      </c>
      <c r="B18" s="17">
        <v>24000</v>
      </c>
      <c r="C18" s="103">
        <v>0.05</v>
      </c>
      <c r="D18" s="103" t="s">
        <v>18</v>
      </c>
      <c r="E18" s="107">
        <f t="shared" si="3"/>
        <v>886926.00217844045</v>
      </c>
      <c r="F18" s="104" t="s">
        <v>10</v>
      </c>
      <c r="G18" s="20">
        <f>S15</f>
        <v>150482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4"/>
    </row>
    <row r="19" spans="1:34" x14ac:dyDescent="0.3">
      <c r="A19" s="6" t="s">
        <v>33</v>
      </c>
      <c r="B19" s="17">
        <v>63360</v>
      </c>
      <c r="C19" s="103">
        <v>0.06</v>
      </c>
      <c r="D19" s="103" t="s">
        <v>21</v>
      </c>
      <c r="E19" s="107">
        <f t="shared" si="3"/>
        <v>877763.27151536848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4"/>
    </row>
    <row r="20" spans="1:34" x14ac:dyDescent="0.3">
      <c r="A20" s="6" t="s">
        <v>34</v>
      </c>
      <c r="B20" s="17">
        <v>32400</v>
      </c>
      <c r="C20" s="103">
        <v>7.0000000000000007E-2</v>
      </c>
      <c r="D20" s="103" t="s">
        <v>23</v>
      </c>
      <c r="E20" s="107">
        <f t="shared" si="3"/>
        <v>868014.94993593753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4"/>
    </row>
    <row r="21" spans="1:34" x14ac:dyDescent="0.3">
      <c r="A21" s="6" t="s">
        <v>35</v>
      </c>
      <c r="B21" s="17">
        <f>350*1800</f>
        <v>630000</v>
      </c>
      <c r="C21" s="103">
        <v>0.08</v>
      </c>
      <c r="D21" s="103" t="s">
        <v>25</v>
      </c>
      <c r="E21" s="107">
        <f t="shared" si="3"/>
        <v>857868.18118850479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4"/>
    </row>
    <row r="22" spans="1:34" x14ac:dyDescent="0.3">
      <c r="A22" s="6" t="s">
        <v>36</v>
      </c>
      <c r="B22" s="17">
        <v>140000</v>
      </c>
      <c r="C22" s="103">
        <v>0.09</v>
      </c>
      <c r="D22" s="103" t="s">
        <v>27</v>
      </c>
      <c r="E22" s="107">
        <f t="shared" si="3"/>
        <v>847471.66099981219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4"/>
    </row>
    <row r="23" spans="1:34" x14ac:dyDescent="0.3">
      <c r="A23" s="6" t="s">
        <v>17</v>
      </c>
      <c r="B23" s="28">
        <v>3.8</v>
      </c>
      <c r="C23" s="103">
        <v>0.1</v>
      </c>
      <c r="D23" s="103" t="s">
        <v>28</v>
      </c>
      <c r="E23" s="107">
        <f t="shared" si="3"/>
        <v>836943.01625641307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4"/>
    </row>
    <row r="24" spans="1:34" x14ac:dyDescent="0.3">
      <c r="A24" s="29" t="s">
        <v>37</v>
      </c>
      <c r="B24" s="17">
        <v>50000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4"/>
    </row>
    <row r="25" spans="1:34" x14ac:dyDescent="0.3">
      <c r="A25" s="6" t="s">
        <v>38</v>
      </c>
      <c r="B25" s="17">
        <v>130000</v>
      </c>
      <c r="C25" s="103"/>
      <c r="D25" s="103"/>
      <c r="E25" s="10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4"/>
    </row>
    <row r="26" spans="1:34" x14ac:dyDescent="0.3">
      <c r="A26" s="6" t="s">
        <v>24</v>
      </c>
      <c r="B26" s="17">
        <v>350000</v>
      </c>
      <c r="C26" s="103"/>
      <c r="D26" s="103"/>
      <c r="E26" s="10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4"/>
    </row>
    <row r="27" spans="1:34" ht="15" thickBot="1" x14ac:dyDescent="0.35">
      <c r="A27" s="30" t="s">
        <v>26</v>
      </c>
      <c r="B27" s="31">
        <f>SUM(B17:B22)+B24+B25-B26</f>
        <v>762015</v>
      </c>
      <c r="C27" s="24"/>
      <c r="D27" s="24"/>
      <c r="E27" s="3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6"/>
    </row>
    <row r="28" spans="1:34" ht="15" thickBot="1" x14ac:dyDescent="0.35">
      <c r="A28" s="102"/>
      <c r="B28" s="103"/>
      <c r="C28" s="103"/>
      <c r="D28" s="103"/>
      <c r="E28" s="107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4"/>
    </row>
    <row r="29" spans="1:34" ht="18" x14ac:dyDescent="0.35">
      <c r="A29" s="1" t="s">
        <v>39</v>
      </c>
      <c r="B29" s="2"/>
      <c r="C29" s="3" t="s">
        <v>1</v>
      </c>
      <c r="D29" s="4">
        <v>0</v>
      </c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5">
        <v>30</v>
      </c>
    </row>
    <row r="30" spans="1:34" x14ac:dyDescent="0.3">
      <c r="A30" s="33" t="s">
        <v>40</v>
      </c>
      <c r="B30" s="16" t="s">
        <v>41</v>
      </c>
      <c r="C30" s="104" t="s">
        <v>4</v>
      </c>
      <c r="D30" s="103">
        <v>302015</v>
      </c>
      <c r="E30" s="103">
        <f>41585+2500</f>
        <v>44085</v>
      </c>
      <c r="F30" s="103">
        <f t="shared" ref="F30:AH30" si="4">41585+2500</f>
        <v>44085</v>
      </c>
      <c r="G30" s="103">
        <f t="shared" si="4"/>
        <v>44085</v>
      </c>
      <c r="H30" s="103">
        <f t="shared" si="4"/>
        <v>44085</v>
      </c>
      <c r="I30" s="103">
        <f t="shared" si="4"/>
        <v>44085</v>
      </c>
      <c r="J30" s="103">
        <f t="shared" si="4"/>
        <v>44085</v>
      </c>
      <c r="K30" s="103">
        <f t="shared" si="4"/>
        <v>44085</v>
      </c>
      <c r="L30" s="103">
        <f t="shared" si="4"/>
        <v>44085</v>
      </c>
      <c r="M30" s="103">
        <f t="shared" si="4"/>
        <v>44085</v>
      </c>
      <c r="N30" s="103">
        <f t="shared" si="4"/>
        <v>44085</v>
      </c>
      <c r="O30" s="103">
        <f t="shared" si="4"/>
        <v>44085</v>
      </c>
      <c r="P30" s="103">
        <f t="shared" si="4"/>
        <v>44085</v>
      </c>
      <c r="Q30" s="103">
        <f t="shared" si="4"/>
        <v>44085</v>
      </c>
      <c r="R30" s="103">
        <f t="shared" si="4"/>
        <v>44085</v>
      </c>
      <c r="S30" s="103">
        <f>41585+2500-23538</f>
        <v>20547</v>
      </c>
      <c r="T30" s="103">
        <f t="shared" si="4"/>
        <v>44085</v>
      </c>
      <c r="U30" s="103">
        <f t="shared" si="4"/>
        <v>44085</v>
      </c>
      <c r="V30" s="103">
        <f t="shared" si="4"/>
        <v>44085</v>
      </c>
      <c r="W30" s="103">
        <f t="shared" si="4"/>
        <v>44085</v>
      </c>
      <c r="X30" s="103">
        <f t="shared" si="4"/>
        <v>44085</v>
      </c>
      <c r="Y30" s="103">
        <f t="shared" si="4"/>
        <v>44085</v>
      </c>
      <c r="Z30" s="103">
        <f t="shared" si="4"/>
        <v>44085</v>
      </c>
      <c r="AA30" s="103">
        <f t="shared" si="4"/>
        <v>44085</v>
      </c>
      <c r="AB30" s="103">
        <f t="shared" si="4"/>
        <v>44085</v>
      </c>
      <c r="AC30" s="103">
        <f t="shared" si="4"/>
        <v>44085</v>
      </c>
      <c r="AD30" s="103">
        <f t="shared" si="4"/>
        <v>44085</v>
      </c>
      <c r="AE30" s="103">
        <f t="shared" si="4"/>
        <v>44085</v>
      </c>
      <c r="AF30" s="103">
        <f t="shared" si="4"/>
        <v>44085</v>
      </c>
      <c r="AG30" s="103">
        <f t="shared" si="4"/>
        <v>44085</v>
      </c>
      <c r="AH30" s="14">
        <f t="shared" si="4"/>
        <v>44085</v>
      </c>
    </row>
    <row r="31" spans="1:34" ht="16.2" thickBot="1" x14ac:dyDescent="0.35">
      <c r="A31" s="34" t="s">
        <v>5</v>
      </c>
      <c r="B31" s="10" t="s">
        <v>42</v>
      </c>
      <c r="C31" s="103">
        <v>0.02</v>
      </c>
      <c r="D31" s="108" t="s">
        <v>43</v>
      </c>
      <c r="E31" s="107">
        <f t="shared" ref="E31:E39" si="5">NPV(C31,D$30:S$30)</f>
        <v>834299.70657680114</v>
      </c>
      <c r="F31" s="106" t="s">
        <v>44</v>
      </c>
      <c r="G31" s="107">
        <f>NPV(0.02,D30:R30,S31,T30:AD30,AE30:AH30)</f>
        <v>1366063.534474923</v>
      </c>
      <c r="H31" s="106" t="s">
        <v>9</v>
      </c>
      <c r="I31" s="107">
        <f>(0.02/((1-(1+0.02)^-15)))*E31</f>
        <v>64929.768662579685</v>
      </c>
      <c r="J31" s="103"/>
      <c r="K31" s="103"/>
      <c r="L31" s="103"/>
      <c r="M31" s="103"/>
      <c r="N31" s="103"/>
      <c r="O31" s="103"/>
      <c r="P31" s="103"/>
      <c r="Q31" s="103"/>
      <c r="R31" s="103" t="s">
        <v>10</v>
      </c>
      <c r="S31" s="103">
        <f>140000+R30</f>
        <v>184085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4"/>
    </row>
    <row r="32" spans="1:34" ht="15" thickTop="1" x14ac:dyDescent="0.3">
      <c r="A32" s="33" t="s">
        <v>11</v>
      </c>
      <c r="B32" s="16" t="s">
        <v>12</v>
      </c>
      <c r="C32" s="103">
        <v>0.03</v>
      </c>
      <c r="D32" s="103" t="s">
        <v>13</v>
      </c>
      <c r="E32" s="107">
        <f t="shared" si="5"/>
        <v>789505.55512883444</v>
      </c>
      <c r="F32" s="104" t="s">
        <v>16</v>
      </c>
      <c r="G32" s="18">
        <f>B41</f>
        <v>302015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4"/>
    </row>
    <row r="33" spans="1:34" x14ac:dyDescent="0.3">
      <c r="A33" s="19" t="s">
        <v>31</v>
      </c>
      <c r="B33" s="35">
        <v>42255</v>
      </c>
      <c r="C33" s="103">
        <v>0.04</v>
      </c>
      <c r="D33" s="103" t="s">
        <v>15</v>
      </c>
      <c r="E33" s="107">
        <f t="shared" si="5"/>
        <v>749133.93661756383</v>
      </c>
      <c r="F33" s="20" t="s">
        <v>19</v>
      </c>
      <c r="G33" s="18">
        <v>2500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4"/>
    </row>
    <row r="34" spans="1:34" x14ac:dyDescent="0.3">
      <c r="A34" s="19" t="s">
        <v>32</v>
      </c>
      <c r="B34" s="35">
        <v>24000</v>
      </c>
      <c r="C34" s="103">
        <v>0.05</v>
      </c>
      <c r="D34" s="103" t="s">
        <v>18</v>
      </c>
      <c r="E34" s="107">
        <f t="shared" si="5"/>
        <v>712647.66110316745</v>
      </c>
      <c r="F34" s="104" t="s">
        <v>10</v>
      </c>
      <c r="G34" s="18">
        <v>184085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4"/>
    </row>
    <row r="35" spans="1:34" x14ac:dyDescent="0.3">
      <c r="A35" s="19" t="s">
        <v>33</v>
      </c>
      <c r="B35" s="35">
        <v>63360</v>
      </c>
      <c r="C35" s="103">
        <v>0.06</v>
      </c>
      <c r="D35" s="103" t="s">
        <v>21</v>
      </c>
      <c r="E35" s="107">
        <f t="shared" si="5"/>
        <v>679582.93549525272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4"/>
    </row>
    <row r="36" spans="1:34" x14ac:dyDescent="0.3">
      <c r="A36" s="19" t="s">
        <v>34</v>
      </c>
      <c r="B36" s="35">
        <v>32400</v>
      </c>
      <c r="C36" s="103">
        <v>7.0000000000000007E-2</v>
      </c>
      <c r="D36" s="103" t="s">
        <v>23</v>
      </c>
      <c r="E36" s="107">
        <f t="shared" si="5"/>
        <v>649538.44346251839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4"/>
    </row>
    <row r="37" spans="1:34" x14ac:dyDescent="0.3">
      <c r="A37" s="29" t="s">
        <v>45</v>
      </c>
      <c r="B37" s="35">
        <v>190000</v>
      </c>
      <c r="C37" s="103">
        <v>0.08</v>
      </c>
      <c r="D37" s="103" t="s">
        <v>25</v>
      </c>
      <c r="E37" s="107">
        <f t="shared" si="5"/>
        <v>622166.16546828405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4"/>
    </row>
    <row r="38" spans="1:34" x14ac:dyDescent="0.3">
      <c r="A38" s="19" t="s">
        <v>17</v>
      </c>
      <c r="B38" s="28">
        <v>3.8</v>
      </c>
      <c r="C38" s="103">
        <v>0.09</v>
      </c>
      <c r="D38" s="103" t="s">
        <v>27</v>
      </c>
      <c r="E38" s="107">
        <f t="shared" si="5"/>
        <v>597163.6449666936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4"/>
    </row>
    <row r="39" spans="1:34" x14ac:dyDescent="0.3">
      <c r="A39" s="29" t="s">
        <v>46</v>
      </c>
      <c r="B39" s="35">
        <v>50000</v>
      </c>
      <c r="C39" s="103">
        <v>0.1</v>
      </c>
      <c r="D39" s="103" t="s">
        <v>28</v>
      </c>
      <c r="E39" s="107">
        <f t="shared" si="5"/>
        <v>574267.4590705022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4"/>
    </row>
    <row r="40" spans="1:34" ht="15" thickBot="1" x14ac:dyDescent="0.35">
      <c r="A40" s="36" t="s">
        <v>24</v>
      </c>
      <c r="B40" s="37">
        <v>100000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4"/>
    </row>
    <row r="41" spans="1:34" ht="15" thickBot="1" x14ac:dyDescent="0.35">
      <c r="A41" s="38" t="s">
        <v>47</v>
      </c>
      <c r="B41" s="31">
        <f>B33+B34+B35+B36+B37+B39+-B40</f>
        <v>302015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6"/>
    </row>
    <row r="42" spans="1:34" ht="15" thickBot="1" x14ac:dyDescent="0.3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4"/>
    </row>
    <row r="43" spans="1:34" ht="18" x14ac:dyDescent="0.35">
      <c r="A43" s="1" t="s">
        <v>48</v>
      </c>
      <c r="B43" s="2"/>
      <c r="C43" s="3" t="s">
        <v>1</v>
      </c>
      <c r="D43" s="4">
        <v>0</v>
      </c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5">
        <v>30</v>
      </c>
    </row>
    <row r="44" spans="1:34" x14ac:dyDescent="0.3">
      <c r="A44" s="6" t="s">
        <v>2</v>
      </c>
      <c r="B44" s="7" t="s">
        <v>30</v>
      </c>
      <c r="C44" s="104" t="s">
        <v>4</v>
      </c>
      <c r="D44" s="105">
        <f>B57</f>
        <v>742015</v>
      </c>
      <c r="E44" s="103">
        <f>28541+2500</f>
        <v>31041</v>
      </c>
      <c r="F44" s="103">
        <f>28541+2500</f>
        <v>31041</v>
      </c>
      <c r="G44" s="103">
        <f t="shared" ref="G44:R44" si="6">28541+2500</f>
        <v>31041</v>
      </c>
      <c r="H44" s="103">
        <f t="shared" si="6"/>
        <v>31041</v>
      </c>
      <c r="I44" s="103">
        <f t="shared" si="6"/>
        <v>31041</v>
      </c>
      <c r="J44" s="103">
        <f t="shared" si="6"/>
        <v>31041</v>
      </c>
      <c r="K44" s="103">
        <f t="shared" si="6"/>
        <v>31041</v>
      </c>
      <c r="L44" s="103">
        <f t="shared" si="6"/>
        <v>31041</v>
      </c>
      <c r="M44" s="103">
        <f t="shared" si="6"/>
        <v>31041</v>
      </c>
      <c r="N44" s="103">
        <f t="shared" si="6"/>
        <v>31041</v>
      </c>
      <c r="O44" s="103">
        <f t="shared" si="6"/>
        <v>31041</v>
      </c>
      <c r="P44" s="103">
        <f t="shared" si="6"/>
        <v>31041</v>
      </c>
      <c r="Q44" s="103">
        <f t="shared" si="6"/>
        <v>31041</v>
      </c>
      <c r="R44" s="103">
        <f t="shared" si="6"/>
        <v>31041</v>
      </c>
      <c r="S44" s="105">
        <f>28541+2500-B107</f>
        <v>-226547.34659241987</v>
      </c>
      <c r="T44" s="103">
        <f>28541+2500</f>
        <v>31041</v>
      </c>
      <c r="U44" s="103">
        <f t="shared" ref="U44:AH44" si="7">28541+2500</f>
        <v>31041</v>
      </c>
      <c r="V44" s="103">
        <f t="shared" si="7"/>
        <v>31041</v>
      </c>
      <c r="W44" s="103">
        <f t="shared" si="7"/>
        <v>31041</v>
      </c>
      <c r="X44" s="103">
        <f t="shared" si="7"/>
        <v>31041</v>
      </c>
      <c r="Y44" s="103">
        <f t="shared" si="7"/>
        <v>31041</v>
      </c>
      <c r="Z44" s="103">
        <f t="shared" si="7"/>
        <v>31041</v>
      </c>
      <c r="AA44" s="103">
        <f t="shared" si="7"/>
        <v>31041</v>
      </c>
      <c r="AB44" s="103">
        <f t="shared" si="7"/>
        <v>31041</v>
      </c>
      <c r="AC44" s="103">
        <f t="shared" si="7"/>
        <v>31041</v>
      </c>
      <c r="AD44" s="103">
        <f t="shared" si="7"/>
        <v>31041</v>
      </c>
      <c r="AE44" s="103">
        <f t="shared" si="7"/>
        <v>31041</v>
      </c>
      <c r="AF44" s="103">
        <f t="shared" si="7"/>
        <v>31041</v>
      </c>
      <c r="AG44" s="103">
        <f t="shared" si="7"/>
        <v>31041</v>
      </c>
      <c r="AH44" s="14">
        <f t="shared" si="7"/>
        <v>31041</v>
      </c>
    </row>
    <row r="45" spans="1:34" ht="15" thickBot="1" x14ac:dyDescent="0.35">
      <c r="A45" s="9" t="s">
        <v>5</v>
      </c>
      <c r="B45" s="10">
        <v>15.4</v>
      </c>
      <c r="C45" s="103">
        <v>0.02</v>
      </c>
      <c r="D45" s="106" t="s">
        <v>43</v>
      </c>
      <c r="E45" s="107">
        <f>NPV(C45,D$44:S$44)</f>
        <v>930859.85542133625</v>
      </c>
      <c r="F45" s="106" t="s">
        <v>44</v>
      </c>
      <c r="G45" s="107">
        <f>NPV(0.02,D44:R44,S45,T44:AH44)</f>
        <v>1518309.3982911815</v>
      </c>
      <c r="H45" s="106" t="s">
        <v>9</v>
      </c>
      <c r="I45" s="107">
        <f>(0.02/((1-(1+0.02)^-15)))*E45</f>
        <v>72444.607846959494</v>
      </c>
      <c r="J45" s="103"/>
      <c r="K45" s="103"/>
      <c r="L45" s="103"/>
      <c r="M45" s="103"/>
      <c r="N45" s="103"/>
      <c r="O45" s="103"/>
      <c r="P45" s="103"/>
      <c r="Q45" s="103"/>
      <c r="R45" s="103" t="s">
        <v>10</v>
      </c>
      <c r="S45" s="103">
        <f>150000+R44</f>
        <v>181041</v>
      </c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4"/>
    </row>
    <row r="46" spans="1:34" ht="15" thickTop="1" x14ac:dyDescent="0.3">
      <c r="A46" s="15" t="s">
        <v>11</v>
      </c>
      <c r="B46" s="16" t="s">
        <v>12</v>
      </c>
      <c r="C46" s="103">
        <v>0.03</v>
      </c>
      <c r="D46" s="103" t="s">
        <v>13</v>
      </c>
      <c r="E46" s="107">
        <f t="shared" ref="E46:E53" si="8">NPV(C46,D$44:T$44)</f>
        <v>938434.96137712302</v>
      </c>
      <c r="F46" s="104" t="s">
        <v>16</v>
      </c>
      <c r="G46" s="18">
        <f>B57</f>
        <v>742015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4"/>
    </row>
    <row r="47" spans="1:34" x14ac:dyDescent="0.3">
      <c r="A47" s="6" t="s">
        <v>31</v>
      </c>
      <c r="B47" s="17">
        <v>42255</v>
      </c>
      <c r="C47" s="103">
        <v>0.04</v>
      </c>
      <c r="D47" s="103" t="s">
        <v>15</v>
      </c>
      <c r="E47" s="107">
        <f t="shared" si="8"/>
        <v>923734.84883463476</v>
      </c>
      <c r="F47" s="20" t="s">
        <v>19</v>
      </c>
      <c r="G47" s="18">
        <v>2500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4"/>
    </row>
    <row r="48" spans="1:34" x14ac:dyDescent="0.3">
      <c r="A48" s="6" t="s">
        <v>32</v>
      </c>
      <c r="B48" s="17">
        <v>24000</v>
      </c>
      <c r="C48" s="103">
        <v>0.05</v>
      </c>
      <c r="D48" s="103" t="s">
        <v>18</v>
      </c>
      <c r="E48" s="107">
        <f t="shared" si="8"/>
        <v>909072.19613082078</v>
      </c>
      <c r="F48" s="104" t="s">
        <v>10</v>
      </c>
      <c r="G48" s="18">
        <v>181041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4"/>
    </row>
    <row r="49" spans="1:34" x14ac:dyDescent="0.3">
      <c r="A49" s="6" t="s">
        <v>33</v>
      </c>
      <c r="B49" s="17">
        <v>63360</v>
      </c>
      <c r="C49" s="103">
        <v>0.06</v>
      </c>
      <c r="D49" s="103" t="s">
        <v>21</v>
      </c>
      <c r="E49" s="107">
        <f t="shared" si="8"/>
        <v>894556.1113542855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4"/>
    </row>
    <row r="50" spans="1:34" x14ac:dyDescent="0.3">
      <c r="A50" s="6" t="s">
        <v>34</v>
      </c>
      <c r="B50" s="17">
        <v>32400</v>
      </c>
      <c r="C50" s="103">
        <v>7.0000000000000007E-2</v>
      </c>
      <c r="D50" s="103" t="s">
        <v>23</v>
      </c>
      <c r="E50" s="107">
        <f t="shared" si="8"/>
        <v>880267.8022001104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4"/>
    </row>
    <row r="51" spans="1:34" x14ac:dyDescent="0.3">
      <c r="A51" s="6" t="s">
        <v>35</v>
      </c>
      <c r="B51" s="39">
        <f>350*1800</f>
        <v>630000</v>
      </c>
      <c r="C51" s="103">
        <v>0.08</v>
      </c>
      <c r="D51" s="103" t="s">
        <v>25</v>
      </c>
      <c r="E51" s="107">
        <f t="shared" si="8"/>
        <v>866266.44481143006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4"/>
    </row>
    <row r="52" spans="1:34" x14ac:dyDescent="0.3">
      <c r="A52" s="40" t="s">
        <v>49</v>
      </c>
      <c r="B52" s="35">
        <v>40000</v>
      </c>
      <c r="C52" s="103">
        <v>0.09</v>
      </c>
      <c r="D52" s="103" t="s">
        <v>27</v>
      </c>
      <c r="E52" s="107">
        <f t="shared" si="8"/>
        <v>852593.87038133736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4"/>
    </row>
    <row r="53" spans="1:34" x14ac:dyDescent="0.3">
      <c r="A53" s="6" t="s">
        <v>50</v>
      </c>
      <c r="B53" s="41">
        <v>160000</v>
      </c>
      <c r="C53" s="103">
        <v>0.1</v>
      </c>
      <c r="D53" s="103" t="s">
        <v>28</v>
      </c>
      <c r="E53" s="107">
        <f t="shared" si="8"/>
        <v>839278.30706818739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4"/>
    </row>
    <row r="54" spans="1:34" x14ac:dyDescent="0.3">
      <c r="A54" s="19" t="s">
        <v>17</v>
      </c>
      <c r="B54" s="28">
        <v>3.8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4"/>
    </row>
    <row r="55" spans="1:34" x14ac:dyDescent="0.3">
      <c r="A55" s="29" t="s">
        <v>46</v>
      </c>
      <c r="B55" s="17">
        <v>50000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4"/>
    </row>
    <row r="56" spans="1:34" x14ac:dyDescent="0.3">
      <c r="A56" s="6" t="s">
        <v>24</v>
      </c>
      <c r="B56" s="17">
        <v>300000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4"/>
    </row>
    <row r="57" spans="1:34" ht="15" thickBot="1" x14ac:dyDescent="0.35">
      <c r="A57" s="30" t="s">
        <v>26</v>
      </c>
      <c r="B57" s="31">
        <f>SUM(B47:B53)+B55-B56</f>
        <v>742015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6"/>
    </row>
    <row r="58" spans="1:34" ht="15" thickBot="1" x14ac:dyDescent="0.3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4"/>
    </row>
    <row r="59" spans="1:34" ht="18" x14ac:dyDescent="0.35">
      <c r="A59" s="42" t="s">
        <v>51</v>
      </c>
      <c r="B59" s="43"/>
      <c r="C59" s="3" t="s">
        <v>1</v>
      </c>
      <c r="D59" s="4">
        <v>0</v>
      </c>
      <c r="E59" s="4">
        <v>1</v>
      </c>
      <c r="F59" s="4">
        <v>2</v>
      </c>
      <c r="G59" s="4">
        <v>3</v>
      </c>
      <c r="H59" s="4">
        <v>4</v>
      </c>
      <c r="I59" s="4">
        <v>5</v>
      </c>
      <c r="J59" s="4">
        <v>6</v>
      </c>
      <c r="K59" s="4">
        <v>7</v>
      </c>
      <c r="L59" s="4">
        <v>8</v>
      </c>
      <c r="M59" s="4">
        <v>9</v>
      </c>
      <c r="N59" s="4">
        <v>10</v>
      </c>
      <c r="O59" s="4">
        <v>11</v>
      </c>
      <c r="P59" s="4">
        <v>12</v>
      </c>
      <c r="Q59" s="4">
        <v>13</v>
      </c>
      <c r="R59" s="4">
        <v>14</v>
      </c>
      <c r="S59" s="4">
        <v>15</v>
      </c>
      <c r="T59" s="4">
        <v>16</v>
      </c>
      <c r="U59" s="4">
        <v>17</v>
      </c>
      <c r="V59" s="4">
        <v>18</v>
      </c>
      <c r="W59" s="4">
        <v>19</v>
      </c>
      <c r="X59" s="4">
        <v>20</v>
      </c>
      <c r="Y59" s="4">
        <v>21</v>
      </c>
      <c r="Z59" s="4">
        <v>22</v>
      </c>
      <c r="AA59" s="4">
        <v>23</v>
      </c>
      <c r="AB59" s="4">
        <v>24</v>
      </c>
      <c r="AC59" s="4">
        <v>25</v>
      </c>
      <c r="AD59" s="4">
        <v>26</v>
      </c>
      <c r="AE59" s="4">
        <v>27</v>
      </c>
      <c r="AF59" s="4">
        <v>28</v>
      </c>
      <c r="AG59" s="4">
        <v>29</v>
      </c>
      <c r="AH59" s="5">
        <v>30</v>
      </c>
    </row>
    <row r="60" spans="1:34" x14ac:dyDescent="0.3">
      <c r="A60" s="44" t="s">
        <v>40</v>
      </c>
      <c r="B60" s="45" t="s">
        <v>52</v>
      </c>
      <c r="C60" s="104" t="s">
        <v>4</v>
      </c>
      <c r="D60" s="105">
        <f>B72</f>
        <v>289123</v>
      </c>
      <c r="E60" s="103">
        <f>38464</f>
        <v>38464</v>
      </c>
      <c r="F60" s="103">
        <f>38464</f>
        <v>38464</v>
      </c>
      <c r="G60" s="103">
        <f>38464</f>
        <v>38464</v>
      </c>
      <c r="H60" s="103">
        <f>38464</f>
        <v>38464</v>
      </c>
      <c r="I60" s="103">
        <f>38464</f>
        <v>38464</v>
      </c>
      <c r="J60" s="103">
        <f>38464</f>
        <v>38464</v>
      </c>
      <c r="K60" s="103">
        <f>38464</f>
        <v>38464</v>
      </c>
      <c r="L60" s="103">
        <f>38464</f>
        <v>38464</v>
      </c>
      <c r="M60" s="103">
        <f>38464</f>
        <v>38464</v>
      </c>
      <c r="N60" s="103">
        <f>38464</f>
        <v>38464</v>
      </c>
      <c r="O60" s="103">
        <f>38464</f>
        <v>38464</v>
      </c>
      <c r="P60" s="103">
        <f>38464</f>
        <v>38464</v>
      </c>
      <c r="Q60" s="103">
        <f>38464</f>
        <v>38464</v>
      </c>
      <c r="R60" s="103">
        <f>38464-14323</f>
        <v>24141</v>
      </c>
      <c r="S60" s="103">
        <f>38464</f>
        <v>38464</v>
      </c>
      <c r="T60" s="103">
        <f>38464</f>
        <v>38464</v>
      </c>
      <c r="U60" s="103">
        <f>38464</f>
        <v>38464</v>
      </c>
      <c r="V60" s="103">
        <f>38464</f>
        <v>38464</v>
      </c>
      <c r="W60" s="103">
        <f>38464</f>
        <v>38464</v>
      </c>
      <c r="X60" s="103">
        <f>38464</f>
        <v>38464</v>
      </c>
      <c r="Y60" s="103">
        <f>38464</f>
        <v>38464</v>
      </c>
      <c r="Z60" s="103">
        <f>38464</f>
        <v>38464</v>
      </c>
      <c r="AA60" s="103">
        <f>38464</f>
        <v>38464</v>
      </c>
      <c r="AB60" s="103">
        <f>38464</f>
        <v>38464</v>
      </c>
      <c r="AC60" s="103">
        <f>38464</f>
        <v>38464</v>
      </c>
      <c r="AD60" s="103">
        <f>38464</f>
        <v>38464</v>
      </c>
      <c r="AE60" s="103">
        <f>38464</f>
        <v>38464</v>
      </c>
      <c r="AF60" s="103">
        <f>38464</f>
        <v>38464</v>
      </c>
      <c r="AG60" s="103">
        <f>38464</f>
        <v>38464</v>
      </c>
      <c r="AH60" s="14">
        <f>38464-31627</f>
        <v>6837</v>
      </c>
    </row>
    <row r="61" spans="1:34" x14ac:dyDescent="0.3">
      <c r="A61" s="44" t="s">
        <v>5</v>
      </c>
      <c r="B61" s="45" t="s">
        <v>53</v>
      </c>
      <c r="C61" s="103">
        <v>0.02</v>
      </c>
      <c r="D61" s="106" t="s">
        <v>43</v>
      </c>
      <c r="E61" s="107">
        <f t="shared" ref="E61:E69" si="9">NPV(C61,D$60:S$60)</f>
        <v>757354.92873421754</v>
      </c>
      <c r="F61" s="106" t="s">
        <v>54</v>
      </c>
      <c r="G61" s="107">
        <f>(0.02/((1-(1+0.02)^-20)))*E61</f>
        <v>46317.341897397942</v>
      </c>
      <c r="H61" s="103"/>
      <c r="I61" s="106" t="s">
        <v>8</v>
      </c>
      <c r="J61" s="107">
        <f>NPV(0.02,D60:W60,X61,Y60:AH60)</f>
        <v>1153041.7480191491</v>
      </c>
      <c r="K61" s="103"/>
      <c r="L61" s="103"/>
      <c r="M61" s="103"/>
      <c r="N61" s="103"/>
      <c r="O61" s="103"/>
      <c r="P61" s="103"/>
      <c r="Q61" s="103"/>
      <c r="R61" s="103">
        <v>3</v>
      </c>
      <c r="S61" s="103"/>
      <c r="T61" s="103"/>
      <c r="U61" s="103"/>
      <c r="V61" s="103"/>
      <c r="W61" s="103"/>
      <c r="X61" s="109">
        <f>80000+W60</f>
        <v>118464</v>
      </c>
      <c r="Y61" s="103"/>
      <c r="Z61" s="103"/>
      <c r="AA61" s="103"/>
      <c r="AB61" s="103"/>
      <c r="AC61" s="103"/>
      <c r="AD61" s="103"/>
      <c r="AE61" s="103"/>
      <c r="AF61" s="103"/>
      <c r="AG61" s="103"/>
      <c r="AH61" s="14"/>
    </row>
    <row r="62" spans="1:34" x14ac:dyDescent="0.3">
      <c r="A62" s="44" t="s">
        <v>55</v>
      </c>
      <c r="B62" s="45" t="s">
        <v>56</v>
      </c>
      <c r="C62" s="103">
        <v>0.03</v>
      </c>
      <c r="D62" s="103" t="s">
        <v>13</v>
      </c>
      <c r="E62" s="107">
        <f t="shared" si="9"/>
        <v>717315.09208253876</v>
      </c>
      <c r="F62" s="104" t="s">
        <v>16</v>
      </c>
      <c r="G62" s="20">
        <f>B72</f>
        <v>289123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4"/>
    </row>
    <row r="63" spans="1:34" x14ac:dyDescent="0.3">
      <c r="A63" s="44" t="s">
        <v>11</v>
      </c>
      <c r="B63" s="45" t="s">
        <v>12</v>
      </c>
      <c r="C63" s="103">
        <v>0.04</v>
      </c>
      <c r="D63" s="103" t="s">
        <v>15</v>
      </c>
      <c r="E63" s="107">
        <f t="shared" si="9"/>
        <v>681259.1140189016</v>
      </c>
      <c r="F63" s="20" t="s">
        <v>19</v>
      </c>
      <c r="G63" s="20">
        <v>0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4"/>
    </row>
    <row r="64" spans="1:34" x14ac:dyDescent="0.3">
      <c r="A64" s="44" t="s">
        <v>31</v>
      </c>
      <c r="B64" s="46">
        <v>42255</v>
      </c>
      <c r="C64" s="103">
        <v>0.05</v>
      </c>
      <c r="D64" s="103" t="s">
        <v>18</v>
      </c>
      <c r="E64" s="107">
        <f t="shared" si="9"/>
        <v>648697.21760935546</v>
      </c>
      <c r="F64" s="104" t="s">
        <v>10</v>
      </c>
      <c r="G64" s="20">
        <v>118464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4"/>
    </row>
    <row r="65" spans="1:34" x14ac:dyDescent="0.3">
      <c r="A65" s="44" t="s">
        <v>32</v>
      </c>
      <c r="B65" s="46">
        <v>24000</v>
      </c>
      <c r="C65" s="103">
        <v>0.06</v>
      </c>
      <c r="D65" s="103" t="s">
        <v>21</v>
      </c>
      <c r="E65" s="107">
        <f t="shared" si="9"/>
        <v>619207.42297326319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4"/>
    </row>
    <row r="66" spans="1:34" x14ac:dyDescent="0.3">
      <c r="A66" s="44" t="s">
        <v>33</v>
      </c>
      <c r="B66" s="46">
        <v>63360</v>
      </c>
      <c r="C66" s="103">
        <v>7.0000000000000007E-2</v>
      </c>
      <c r="D66" s="103" t="s">
        <v>23</v>
      </c>
      <c r="E66" s="107">
        <f t="shared" si="9"/>
        <v>592425.3251863803</v>
      </c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4"/>
    </row>
    <row r="67" spans="1:34" x14ac:dyDescent="0.3">
      <c r="A67" s="44" t="s">
        <v>34</v>
      </c>
      <c r="B67" s="46">
        <v>32400</v>
      </c>
      <c r="C67" s="103">
        <v>0.08</v>
      </c>
      <c r="D67" s="103" t="s">
        <v>25</v>
      </c>
      <c r="E67" s="107">
        <f t="shared" si="9"/>
        <v>568035.52292310656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4"/>
    </row>
    <row r="68" spans="1:34" x14ac:dyDescent="0.3">
      <c r="A68" s="44" t="s">
        <v>57</v>
      </c>
      <c r="B68" s="46">
        <v>50000</v>
      </c>
      <c r="C68" s="103">
        <v>0.09</v>
      </c>
      <c r="D68" s="103" t="s">
        <v>27</v>
      </c>
      <c r="E68" s="107">
        <f t="shared" si="9"/>
        <v>545764.41527272516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4"/>
    </row>
    <row r="69" spans="1:34" x14ac:dyDescent="0.3">
      <c r="A69" s="44" t="s">
        <v>58</v>
      </c>
      <c r="B69" s="46">
        <v>100000</v>
      </c>
      <c r="C69" s="103">
        <v>0.1</v>
      </c>
      <c r="D69" s="103" t="s">
        <v>28</v>
      </c>
      <c r="E69" s="107">
        <f t="shared" si="9"/>
        <v>525374.13506838062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4"/>
    </row>
    <row r="70" spans="1:34" x14ac:dyDescent="0.3">
      <c r="A70" s="47" t="s">
        <v>59</v>
      </c>
      <c r="B70" s="48">
        <f>57108+20000</f>
        <v>77108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4"/>
    </row>
    <row r="71" spans="1:34" ht="15" thickBot="1" x14ac:dyDescent="0.35">
      <c r="A71" s="49" t="s">
        <v>17</v>
      </c>
      <c r="B71" s="50">
        <v>3.07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4"/>
    </row>
    <row r="72" spans="1:34" ht="15" thickBot="1" x14ac:dyDescent="0.35">
      <c r="A72" s="51" t="s">
        <v>26</v>
      </c>
      <c r="B72" s="52">
        <f>B64+B65+B66+B67+B68+B69+B70-100000</f>
        <v>289123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6"/>
    </row>
    <row r="76" spans="1:34" ht="15" thickBot="1" x14ac:dyDescent="0.35"/>
    <row r="77" spans="1:34" ht="18" x14ac:dyDescent="0.35">
      <c r="A77" s="189" t="s">
        <v>60</v>
      </c>
      <c r="B77" s="189"/>
      <c r="C77" s="4" t="s">
        <v>1</v>
      </c>
      <c r="D77" s="4">
        <v>0</v>
      </c>
      <c r="E77" s="4">
        <v>1</v>
      </c>
      <c r="F77" s="4">
        <v>2</v>
      </c>
      <c r="G77" s="4">
        <v>3</v>
      </c>
      <c r="H77" s="4">
        <v>4</v>
      </c>
      <c r="I77" s="4">
        <v>5</v>
      </c>
      <c r="J77" s="4">
        <v>6</v>
      </c>
      <c r="K77" s="4">
        <v>7</v>
      </c>
      <c r="L77" s="4">
        <v>8</v>
      </c>
      <c r="M77" s="4">
        <v>9</v>
      </c>
      <c r="N77" s="4">
        <v>10</v>
      </c>
      <c r="O77" s="4">
        <v>11</v>
      </c>
      <c r="P77" s="4">
        <v>12</v>
      </c>
      <c r="Q77" s="4">
        <v>13</v>
      </c>
      <c r="R77" s="4">
        <v>14</v>
      </c>
      <c r="S77" s="4">
        <v>15</v>
      </c>
      <c r="T77" s="4">
        <v>16</v>
      </c>
      <c r="U77" s="4">
        <v>17</v>
      </c>
      <c r="V77" s="4">
        <v>18</v>
      </c>
      <c r="W77" s="4">
        <v>19</v>
      </c>
      <c r="X77" s="4">
        <v>20</v>
      </c>
      <c r="Y77" s="4">
        <v>21</v>
      </c>
      <c r="Z77" s="4">
        <v>22</v>
      </c>
      <c r="AA77" s="4">
        <v>23</v>
      </c>
      <c r="AB77" s="4">
        <v>24</v>
      </c>
      <c r="AC77" s="4">
        <v>25</v>
      </c>
      <c r="AD77" s="4">
        <v>26</v>
      </c>
      <c r="AE77" s="4">
        <v>27</v>
      </c>
      <c r="AF77" s="4">
        <v>28</v>
      </c>
      <c r="AG77" s="4">
        <v>29</v>
      </c>
      <c r="AH77" s="5">
        <v>30</v>
      </c>
    </row>
    <row r="78" spans="1:34" x14ac:dyDescent="0.3">
      <c r="A78" s="53" t="s">
        <v>2</v>
      </c>
      <c r="B78" s="54" t="s">
        <v>3</v>
      </c>
      <c r="C78" t="s">
        <v>4</v>
      </c>
      <c r="D78">
        <v>0</v>
      </c>
      <c r="E78">
        <v>179126</v>
      </c>
      <c r="F78">
        <v>179126</v>
      </c>
      <c r="G78">
        <v>179126</v>
      </c>
      <c r="H78">
        <v>179126</v>
      </c>
      <c r="I78">
        <v>179126</v>
      </c>
      <c r="J78">
        <v>179126</v>
      </c>
      <c r="K78">
        <v>179126</v>
      </c>
      <c r="L78">
        <v>179126</v>
      </c>
      <c r="M78">
        <v>179126</v>
      </c>
      <c r="N78">
        <v>179126</v>
      </c>
      <c r="O78">
        <v>179126</v>
      </c>
      <c r="P78">
        <v>179126</v>
      </c>
      <c r="Q78">
        <v>179126</v>
      </c>
      <c r="R78">
        <v>179126</v>
      </c>
      <c r="S78">
        <f>179126</f>
        <v>179126</v>
      </c>
      <c r="T78">
        <v>179126</v>
      </c>
      <c r="U78">
        <v>179126</v>
      </c>
      <c r="V78">
        <v>179126</v>
      </c>
      <c r="W78">
        <v>179126</v>
      </c>
      <c r="X78">
        <v>179126</v>
      </c>
      <c r="Y78">
        <v>179126</v>
      </c>
      <c r="Z78">
        <v>179126</v>
      </c>
      <c r="AA78">
        <v>179126</v>
      </c>
      <c r="AB78">
        <v>179126</v>
      </c>
      <c r="AC78">
        <v>179126</v>
      </c>
      <c r="AD78">
        <v>179126</v>
      </c>
      <c r="AE78">
        <v>179126</v>
      </c>
      <c r="AF78">
        <v>179126</v>
      </c>
      <c r="AG78">
        <v>179126</v>
      </c>
      <c r="AH78">
        <f>179126</f>
        <v>179126</v>
      </c>
    </row>
    <row r="79" spans="1:34" ht="13.2" customHeight="1" x14ac:dyDescent="0.3">
      <c r="A79" s="53" t="s">
        <v>5</v>
      </c>
      <c r="B79" s="54" t="s">
        <v>6</v>
      </c>
      <c r="C79">
        <v>0.02</v>
      </c>
      <c r="D79" s="93" t="s">
        <v>43</v>
      </c>
      <c r="E79" s="13">
        <f>NPV(C79,D$78:S$78)</f>
        <v>2256507.0331410062</v>
      </c>
      <c r="F79" s="93" t="s">
        <v>44</v>
      </c>
      <c r="G79" s="13">
        <f>NPV(0.02,E78:AH78)</f>
        <v>4011787.4970292137</v>
      </c>
      <c r="H79" s="93" t="s">
        <v>61</v>
      </c>
      <c r="I79" s="13">
        <f>(0.02/((1-(1+0.02)^-25)))*E79</f>
        <v>115579.27952941704</v>
      </c>
      <c r="AH79" s="14"/>
    </row>
    <row r="80" spans="1:34" x14ac:dyDescent="0.3">
      <c r="A80" s="55" t="s">
        <v>62</v>
      </c>
      <c r="B80" s="54" t="s">
        <v>63</v>
      </c>
      <c r="C80">
        <v>0.03</v>
      </c>
      <c r="D80" t="s">
        <v>13</v>
      </c>
      <c r="E80" s="13">
        <f t="shared" ref="E80:E87" si="10">NPV(C80,E$78:S$78)</f>
        <v>2138394.5603538519</v>
      </c>
      <c r="F80" s="8" t="s">
        <v>16</v>
      </c>
      <c r="G80" s="20">
        <v>0</v>
      </c>
      <c r="AH80" s="14"/>
    </row>
    <row r="81" spans="1:34" x14ac:dyDescent="0.3">
      <c r="A81" s="54" t="s">
        <v>64</v>
      </c>
      <c r="B81" s="54"/>
      <c r="C81">
        <v>0.04</v>
      </c>
      <c r="D81" t="s">
        <v>15</v>
      </c>
      <c r="E81" s="13">
        <f t="shared" si="10"/>
        <v>1991592.2671745466</v>
      </c>
      <c r="F81" s="20" t="s">
        <v>19</v>
      </c>
      <c r="G81" s="56">
        <v>0</v>
      </c>
      <c r="AH81" s="14"/>
    </row>
    <row r="82" spans="1:34" x14ac:dyDescent="0.3">
      <c r="A82" s="54" t="s">
        <v>65</v>
      </c>
      <c r="B82" s="54"/>
      <c r="C82">
        <v>0.05</v>
      </c>
      <c r="D82" t="s">
        <v>18</v>
      </c>
      <c r="E82" s="13">
        <f t="shared" si="10"/>
        <v>1859266.6257471365</v>
      </c>
      <c r="F82" s="8" t="s">
        <v>10</v>
      </c>
      <c r="G82" s="56">
        <v>0</v>
      </c>
      <c r="AH82" s="14"/>
    </row>
    <row r="83" spans="1:34" x14ac:dyDescent="0.3">
      <c r="A83" s="54" t="s">
        <v>66</v>
      </c>
      <c r="B83" s="54"/>
      <c r="C83">
        <v>0.06</v>
      </c>
      <c r="D83" t="s">
        <v>21</v>
      </c>
      <c r="E83" s="13">
        <f t="shared" si="10"/>
        <v>1739716.3121780911</v>
      </c>
      <c r="AH83" s="14"/>
    </row>
    <row r="84" spans="1:34" x14ac:dyDescent="0.3">
      <c r="A84" s="54" t="s">
        <v>67</v>
      </c>
      <c r="B84" s="54"/>
      <c r="C84">
        <v>7.0000000000000007E-2</v>
      </c>
      <c r="D84" t="s">
        <v>23</v>
      </c>
      <c r="E84" s="13">
        <f t="shared" si="10"/>
        <v>1631464.2040791803</v>
      </c>
      <c r="AH84" s="14"/>
    </row>
    <row r="85" spans="1:34" x14ac:dyDescent="0.3">
      <c r="A85" s="55"/>
      <c r="B85" s="55"/>
      <c r="C85">
        <v>0.08</v>
      </c>
      <c r="D85" t="s">
        <v>25</v>
      </c>
      <c r="E85" s="13">
        <f t="shared" si="10"/>
        <v>1533225.1794534987</v>
      </c>
      <c r="AH85" s="14"/>
    </row>
    <row r="86" spans="1:34" x14ac:dyDescent="0.3">
      <c r="A86" s="55"/>
      <c r="B86" s="55"/>
      <c r="C86">
        <v>0.09</v>
      </c>
      <c r="D86" t="s">
        <v>27</v>
      </c>
      <c r="E86" s="13">
        <f t="shared" si="10"/>
        <v>1443878.8756860709</v>
      </c>
      <c r="AH86" s="14"/>
    </row>
    <row r="87" spans="1:34" ht="15" thickBot="1" x14ac:dyDescent="0.35">
      <c r="A87" s="55"/>
      <c r="B87" s="55"/>
      <c r="C87" s="24">
        <v>0.1</v>
      </c>
      <c r="D87" s="24" t="s">
        <v>28</v>
      </c>
      <c r="E87" s="32">
        <f t="shared" si="10"/>
        <v>1362446.597646991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6"/>
    </row>
    <row r="89" spans="1:34" x14ac:dyDescent="0.3">
      <c r="C89">
        <v>-1</v>
      </c>
    </row>
    <row r="90" spans="1:34" ht="23.4" x14ac:dyDescent="0.45">
      <c r="A90" s="57"/>
    </row>
    <row r="91" spans="1:34" ht="15" thickBot="1" x14ac:dyDescent="0.35"/>
    <row r="92" spans="1:34" ht="18.600000000000001" thickBot="1" x14ac:dyDescent="0.4">
      <c r="A92" s="58"/>
      <c r="B92" s="59" t="s">
        <v>68</v>
      </c>
      <c r="C92" s="59" t="s">
        <v>44</v>
      </c>
      <c r="D92" s="59" t="s">
        <v>69</v>
      </c>
      <c r="E92" s="60" t="s">
        <v>70</v>
      </c>
      <c r="F92" s="61" t="s">
        <v>71</v>
      </c>
      <c r="G92" s="62" t="s">
        <v>72</v>
      </c>
      <c r="I92" s="11" t="s">
        <v>85</v>
      </c>
    </row>
    <row r="93" spans="1:34" x14ac:dyDescent="0.3">
      <c r="A93" s="63" t="s">
        <v>0</v>
      </c>
      <c r="B93" s="94">
        <v>-1198745</v>
      </c>
      <c r="C93" s="95">
        <v>-1654985</v>
      </c>
      <c r="D93" s="64">
        <f>93293*-1</f>
        <v>-93293</v>
      </c>
      <c r="E93" s="65">
        <f>0.3</f>
        <v>0.3</v>
      </c>
      <c r="F93" s="54" t="s">
        <v>73</v>
      </c>
      <c r="G93" s="7" t="s">
        <v>74</v>
      </c>
      <c r="I93" s="73"/>
      <c r="J93" s="62" t="s">
        <v>88</v>
      </c>
    </row>
    <row r="94" spans="1:34" x14ac:dyDescent="0.3">
      <c r="A94" s="63" t="s">
        <v>29</v>
      </c>
      <c r="B94" s="66">
        <v>-908245</v>
      </c>
      <c r="C94" s="66">
        <v>-1503789</v>
      </c>
      <c r="D94" s="66">
        <v>-70684</v>
      </c>
      <c r="E94" s="65">
        <v>0.19</v>
      </c>
      <c r="F94" s="54" t="s">
        <v>75</v>
      </c>
      <c r="G94" s="7" t="s">
        <v>76</v>
      </c>
      <c r="I94" s="6" t="s">
        <v>0</v>
      </c>
      <c r="J94" s="74">
        <v>66734</v>
      </c>
    </row>
    <row r="95" spans="1:34" x14ac:dyDescent="0.3">
      <c r="A95" s="63" t="s">
        <v>39</v>
      </c>
      <c r="B95" s="66">
        <v>-834299</v>
      </c>
      <c r="C95" s="66">
        <v>-1366063</v>
      </c>
      <c r="D95" s="66">
        <v>-64930</v>
      </c>
      <c r="E95" s="65">
        <v>0.49</v>
      </c>
      <c r="F95" s="54" t="s">
        <v>77</v>
      </c>
      <c r="G95" s="7" t="s">
        <v>78</v>
      </c>
      <c r="I95" s="6" t="s">
        <v>29</v>
      </c>
      <c r="J95" s="74">
        <v>27982</v>
      </c>
    </row>
    <row r="96" spans="1:34" x14ac:dyDescent="0.3">
      <c r="A96" s="63" t="s">
        <v>48</v>
      </c>
      <c r="B96" s="66">
        <v>-930859</v>
      </c>
      <c r="C96" s="66">
        <v>-1518309</v>
      </c>
      <c r="D96" s="66">
        <v>-72444</v>
      </c>
      <c r="E96" s="65">
        <v>0.19</v>
      </c>
      <c r="F96" s="54" t="s">
        <v>75</v>
      </c>
      <c r="G96" s="7" t="s">
        <v>76</v>
      </c>
      <c r="I96" s="6" t="s">
        <v>39</v>
      </c>
      <c r="J96" s="74">
        <v>41585</v>
      </c>
    </row>
    <row r="97" spans="1:32" x14ac:dyDescent="0.3">
      <c r="A97" s="63"/>
      <c r="B97" s="66"/>
      <c r="C97" s="66"/>
      <c r="D97" s="66" t="s">
        <v>79</v>
      </c>
      <c r="E97" s="65"/>
      <c r="F97" s="54"/>
      <c r="G97" s="7"/>
      <c r="I97" s="6" t="s">
        <v>48</v>
      </c>
      <c r="J97" s="74">
        <v>28541</v>
      </c>
    </row>
    <row r="98" spans="1:32" x14ac:dyDescent="0.3">
      <c r="A98" s="63" t="s">
        <v>51</v>
      </c>
      <c r="B98" s="66">
        <v>-757354</v>
      </c>
      <c r="C98" s="66">
        <v>-1153041</v>
      </c>
      <c r="D98" s="66">
        <v>-46317</v>
      </c>
      <c r="E98" s="65">
        <v>0.47</v>
      </c>
      <c r="F98" s="54" t="s">
        <v>77</v>
      </c>
      <c r="G98" s="7" t="s">
        <v>78</v>
      </c>
      <c r="I98" s="6" t="s">
        <v>51</v>
      </c>
      <c r="J98" s="74">
        <v>38464</v>
      </c>
    </row>
    <row r="99" spans="1:32" ht="15" thickBot="1" x14ac:dyDescent="0.35">
      <c r="A99" s="63"/>
      <c r="B99" s="66"/>
      <c r="C99" s="66"/>
      <c r="D99" s="66" t="s">
        <v>80</v>
      </c>
      <c r="E99" s="65"/>
      <c r="F99" s="54"/>
      <c r="G99" s="7"/>
      <c r="I99" s="76" t="s">
        <v>60</v>
      </c>
      <c r="J99" s="77">
        <v>179126</v>
      </c>
    </row>
    <row r="100" spans="1:32" ht="15" thickBot="1" x14ac:dyDescent="0.35">
      <c r="A100" s="67" t="s">
        <v>60</v>
      </c>
      <c r="B100" s="68">
        <v>-2256507</v>
      </c>
      <c r="C100" s="68">
        <v>-4011787</v>
      </c>
      <c r="D100" s="68">
        <v>-115579</v>
      </c>
      <c r="E100" s="69">
        <v>0</v>
      </c>
      <c r="F100" s="70" t="s">
        <v>81</v>
      </c>
      <c r="G100" s="71" t="s">
        <v>81</v>
      </c>
    </row>
    <row r="102" spans="1:32" ht="21.6" thickBot="1" x14ac:dyDescent="0.45">
      <c r="A102" s="27" t="s">
        <v>82</v>
      </c>
      <c r="B102" s="11" t="s">
        <v>83</v>
      </c>
      <c r="C102" s="11" t="s">
        <v>84</v>
      </c>
    </row>
    <row r="103" spans="1:32" ht="18" x14ac:dyDescent="0.35">
      <c r="A103" s="58"/>
      <c r="B103" s="59" t="s">
        <v>86</v>
      </c>
      <c r="C103" s="72" t="s">
        <v>87</v>
      </c>
      <c r="E103" s="79" t="s">
        <v>90</v>
      </c>
      <c r="F103" s="55"/>
    </row>
    <row r="104" spans="1:32" x14ac:dyDescent="0.3">
      <c r="A104" s="63" t="s">
        <v>0</v>
      </c>
      <c r="B104" s="66">
        <f>92700*25/40*(1.02)^-15</f>
        <v>43048.415918709834</v>
      </c>
      <c r="C104" s="17">
        <f>92700*10/40*(1.02)^-30</f>
        <v>12794.242852109461</v>
      </c>
      <c r="E104" s="55" t="s">
        <v>71</v>
      </c>
      <c r="F104" s="55" t="s">
        <v>72</v>
      </c>
    </row>
    <row r="105" spans="1:32" x14ac:dyDescent="0.3">
      <c r="A105" s="63" t="s">
        <v>29</v>
      </c>
      <c r="B105" s="66">
        <f>(63360+630000+130000)*15/30*(1.02)^-15</f>
        <v>305884.3040416736</v>
      </c>
      <c r="C105" s="17">
        <v>0</v>
      </c>
      <c r="E105" s="111">
        <f>B113/C113*-1</f>
        <v>3.2923925982036577</v>
      </c>
      <c r="F105" s="54">
        <f>365100/(C113/(1+0.02)^15)</f>
        <v>4.431126955255019</v>
      </c>
    </row>
    <row r="106" spans="1:32" x14ac:dyDescent="0.3">
      <c r="A106" s="63" t="s">
        <v>39</v>
      </c>
      <c r="B106" s="66">
        <f>(63360)*15/30*(1.02)^-15</f>
        <v>23538.706646036291</v>
      </c>
      <c r="C106" s="17">
        <v>0</v>
      </c>
      <c r="E106" s="111">
        <f>B118/C118*-1</f>
        <v>5.1264430451279566</v>
      </c>
      <c r="F106" s="54">
        <f>762015/(C118/(1.02)^15)</f>
        <v>6.8995173826596519</v>
      </c>
    </row>
    <row r="107" spans="1:32" x14ac:dyDescent="0.3">
      <c r="A107" s="63" t="s">
        <v>48</v>
      </c>
      <c r="B107" s="66">
        <f>(63360+630000)*15/30*(1.02)^-15</f>
        <v>257588.34659241987</v>
      </c>
      <c r="C107" s="17">
        <v>0</v>
      </c>
      <c r="E107" s="111">
        <f>B123/C123*-1</f>
        <v>2.0143141712516939</v>
      </c>
      <c r="F107" s="54">
        <f>272015/(C123/(1.02)^15)</f>
        <v>2.711001666525263</v>
      </c>
    </row>
    <row r="108" spans="1:32" ht="15" thickBot="1" x14ac:dyDescent="0.35">
      <c r="A108" s="67" t="s">
        <v>51</v>
      </c>
      <c r="B108" s="68">
        <f>77108*5/20*(1.02)^-15</f>
        <v>14323.094949988686</v>
      </c>
      <c r="C108" s="75">
        <f>77108*10/20*(1.02)^-10</f>
        <v>31627.708353386741</v>
      </c>
      <c r="E108" s="111">
        <f>B128/C128*-1</f>
        <v>5.0107370766789341</v>
      </c>
      <c r="F108" s="54">
        <f>742015/(C128/(1.02)^15)</f>
        <v>6.7437923831689828</v>
      </c>
    </row>
    <row r="109" spans="1:32" x14ac:dyDescent="0.3">
      <c r="E109" s="111">
        <f>B133/C133*-1</f>
        <v>2.0554449673685857</v>
      </c>
      <c r="F109" s="54">
        <f>289123/(C133/(1.02)^20)</f>
        <v>3.0542830968381631</v>
      </c>
    </row>
    <row r="110" spans="1:32" ht="18.600000000000001" thickBot="1" x14ac:dyDescent="0.4">
      <c r="A110" s="78" t="s">
        <v>89</v>
      </c>
    </row>
    <row r="111" spans="1:32" ht="15" thickBot="1" x14ac:dyDescent="0.35">
      <c r="A111" s="96" t="s">
        <v>0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5"/>
    </row>
    <row r="112" spans="1:32" x14ac:dyDescent="0.3">
      <c r="A112" s="96" t="s">
        <v>1</v>
      </c>
      <c r="B112" s="101">
        <v>0</v>
      </c>
      <c r="C112" s="4">
        <v>1</v>
      </c>
      <c r="D112" s="4">
        <v>2</v>
      </c>
      <c r="E112" s="4">
        <v>3</v>
      </c>
      <c r="F112" s="4">
        <v>4</v>
      </c>
      <c r="G112" s="4">
        <v>5</v>
      </c>
      <c r="H112" s="4">
        <v>6</v>
      </c>
      <c r="I112" s="4">
        <v>7</v>
      </c>
      <c r="J112" s="4">
        <v>8</v>
      </c>
      <c r="K112" s="4">
        <v>9</v>
      </c>
      <c r="L112" s="4">
        <v>10</v>
      </c>
      <c r="M112" s="4">
        <v>11</v>
      </c>
      <c r="N112" s="4">
        <v>12</v>
      </c>
      <c r="O112" s="4">
        <v>13</v>
      </c>
      <c r="P112" s="4">
        <v>14</v>
      </c>
      <c r="Q112" s="4">
        <v>15</v>
      </c>
      <c r="R112" s="4">
        <v>16</v>
      </c>
      <c r="S112" s="4">
        <v>17</v>
      </c>
      <c r="T112" s="4">
        <v>18</v>
      </c>
      <c r="U112" s="4">
        <v>19</v>
      </c>
      <c r="V112" s="4">
        <v>20</v>
      </c>
      <c r="W112" s="4">
        <v>21</v>
      </c>
      <c r="X112" s="4">
        <v>22</v>
      </c>
      <c r="Y112" s="4">
        <v>23</v>
      </c>
      <c r="Z112" s="4">
        <v>24</v>
      </c>
      <c r="AA112" s="4">
        <v>25</v>
      </c>
      <c r="AB112" s="4">
        <v>26</v>
      </c>
      <c r="AC112" s="4">
        <v>27</v>
      </c>
      <c r="AD112" s="4">
        <v>28</v>
      </c>
      <c r="AE112" s="4">
        <v>29</v>
      </c>
      <c r="AF112" s="5">
        <v>30</v>
      </c>
    </row>
    <row r="113" spans="1:32" x14ac:dyDescent="0.3">
      <c r="A113" s="97" t="s">
        <v>4</v>
      </c>
      <c r="B113" s="102">
        <v>-365100</v>
      </c>
      <c r="C113" s="103">
        <f>J99-J94-1500</f>
        <v>110892</v>
      </c>
      <c r="D113" s="103">
        <v>110892</v>
      </c>
      <c r="E113" s="103">
        <v>110892</v>
      </c>
      <c r="F113" s="103">
        <v>110892</v>
      </c>
      <c r="G113" s="103">
        <v>110892</v>
      </c>
      <c r="H113" s="103">
        <v>110892</v>
      </c>
      <c r="I113" s="103">
        <v>110892</v>
      </c>
      <c r="J113" s="103">
        <v>110892</v>
      </c>
      <c r="K113" s="103">
        <v>110892</v>
      </c>
      <c r="L113" s="103">
        <v>110892</v>
      </c>
      <c r="M113" s="103">
        <v>110892</v>
      </c>
      <c r="N113" s="103">
        <v>110892</v>
      </c>
      <c r="O113" s="103">
        <v>110892</v>
      </c>
      <c r="P113" s="103">
        <v>110892</v>
      </c>
      <c r="Q113" s="112">
        <f>108206-2500-S3</f>
        <v>-113528.41591870983</v>
      </c>
      <c r="R113" s="103">
        <v>110892</v>
      </c>
      <c r="S113" s="103">
        <v>110892</v>
      </c>
      <c r="T113" s="103">
        <v>110892</v>
      </c>
      <c r="U113" s="103">
        <v>110892</v>
      </c>
      <c r="V113" s="103">
        <v>110892</v>
      </c>
      <c r="W113" s="103">
        <v>110892</v>
      </c>
      <c r="X113" s="103">
        <v>110892</v>
      </c>
      <c r="Y113" s="103">
        <v>110892</v>
      </c>
      <c r="Z113" s="103">
        <v>110892</v>
      </c>
      <c r="AA113" s="103">
        <v>110892</v>
      </c>
      <c r="AB113" s="103">
        <v>110892</v>
      </c>
      <c r="AC113" s="103">
        <v>110892</v>
      </c>
      <c r="AD113" s="103">
        <v>110892</v>
      </c>
      <c r="AE113" s="103">
        <v>110892</v>
      </c>
      <c r="AF113" s="103">
        <v>110892</v>
      </c>
    </row>
    <row r="114" spans="1:32" x14ac:dyDescent="0.3">
      <c r="A114" s="97" t="s">
        <v>70</v>
      </c>
      <c r="B114" s="113">
        <f>IRR(B113:AF113)</f>
        <v>0.30001230843046067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4"/>
    </row>
    <row r="115" spans="1:32" x14ac:dyDescent="0.3">
      <c r="A115" s="97"/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4"/>
    </row>
    <row r="116" spans="1:32" ht="15" thickBot="1" x14ac:dyDescent="0.35">
      <c r="A116" s="98" t="s">
        <v>29</v>
      </c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4"/>
    </row>
    <row r="117" spans="1:32" x14ac:dyDescent="0.3">
      <c r="A117" s="96" t="s">
        <v>1</v>
      </c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4"/>
    </row>
    <row r="118" spans="1:32" x14ac:dyDescent="0.3">
      <c r="A118" s="97" t="s">
        <v>4</v>
      </c>
      <c r="B118" s="102">
        <v>-762015</v>
      </c>
      <c r="C118" s="103">
        <f>J99-J95-2500</f>
        <v>148644</v>
      </c>
      <c r="D118" s="103">
        <v>148644</v>
      </c>
      <c r="E118" s="103">
        <v>148644</v>
      </c>
      <c r="F118" s="103">
        <v>148644</v>
      </c>
      <c r="G118" s="103">
        <v>148644</v>
      </c>
      <c r="H118" s="103">
        <v>148644</v>
      </c>
      <c r="I118" s="103">
        <v>148644</v>
      </c>
      <c r="J118" s="103">
        <v>148644</v>
      </c>
      <c r="K118" s="103">
        <v>148644</v>
      </c>
      <c r="L118" s="103">
        <v>148644</v>
      </c>
      <c r="M118" s="103">
        <v>148644</v>
      </c>
      <c r="N118" s="103">
        <v>148644</v>
      </c>
      <c r="O118" s="103">
        <v>148644</v>
      </c>
      <c r="P118" s="103">
        <v>148644</v>
      </c>
      <c r="Q118" s="103">
        <f>146958-120000-S15</f>
        <v>-123524</v>
      </c>
      <c r="R118" s="103">
        <v>148644</v>
      </c>
      <c r="S118" s="103">
        <v>148644</v>
      </c>
      <c r="T118" s="103">
        <v>148644</v>
      </c>
      <c r="U118" s="103">
        <v>148644</v>
      </c>
      <c r="V118" s="103">
        <v>148644</v>
      </c>
      <c r="W118" s="103">
        <v>148644</v>
      </c>
      <c r="X118" s="103">
        <v>148644</v>
      </c>
      <c r="Y118" s="103">
        <v>148644</v>
      </c>
      <c r="Z118" s="103">
        <v>148644</v>
      </c>
      <c r="AA118" s="103">
        <v>148644</v>
      </c>
      <c r="AB118" s="103">
        <v>148644</v>
      </c>
      <c r="AC118" s="103">
        <v>148644</v>
      </c>
      <c r="AD118" s="103">
        <v>148644</v>
      </c>
      <c r="AE118" s="103">
        <v>148644</v>
      </c>
      <c r="AF118" s="103">
        <v>148644</v>
      </c>
    </row>
    <row r="119" spans="1:32" x14ac:dyDescent="0.3">
      <c r="A119" s="97" t="s">
        <v>70</v>
      </c>
      <c r="B119" s="113">
        <f>IRR(B118:AF118)</f>
        <v>0.18895011691701269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4"/>
    </row>
    <row r="120" spans="1:32" x14ac:dyDescent="0.3">
      <c r="A120" s="97"/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4"/>
    </row>
    <row r="121" spans="1:32" ht="15" thickBot="1" x14ac:dyDescent="0.35">
      <c r="A121" s="98" t="s">
        <v>39</v>
      </c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4"/>
    </row>
    <row r="122" spans="1:32" x14ac:dyDescent="0.3">
      <c r="A122" s="96" t="s">
        <v>1</v>
      </c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4"/>
    </row>
    <row r="123" spans="1:32" x14ac:dyDescent="0.3">
      <c r="A123" s="97" t="s">
        <v>4</v>
      </c>
      <c r="B123" s="102">
        <v>-272015</v>
      </c>
      <c r="C123" s="103">
        <f>J99-J96-2500</f>
        <v>135041</v>
      </c>
      <c r="D123" s="103">
        <v>135041</v>
      </c>
      <c r="E123" s="103">
        <v>135041</v>
      </c>
      <c r="F123" s="103">
        <v>135041</v>
      </c>
      <c r="G123" s="103">
        <v>135041</v>
      </c>
      <c r="H123" s="103">
        <v>135041</v>
      </c>
      <c r="I123" s="103">
        <v>135041</v>
      </c>
      <c r="J123" s="103">
        <v>135041</v>
      </c>
      <c r="K123" s="103">
        <v>135041</v>
      </c>
      <c r="L123" s="103">
        <v>135041</v>
      </c>
      <c r="M123" s="103">
        <v>135041</v>
      </c>
      <c r="N123" s="103">
        <v>135041</v>
      </c>
      <c r="O123" s="103">
        <v>135041</v>
      </c>
      <c r="P123" s="103">
        <v>135041</v>
      </c>
      <c r="Q123" s="103">
        <f>133355-S31</f>
        <v>-50730</v>
      </c>
      <c r="R123" s="103">
        <v>135041</v>
      </c>
      <c r="S123" s="103">
        <v>135041</v>
      </c>
      <c r="T123" s="103">
        <v>135041</v>
      </c>
      <c r="U123" s="103">
        <v>135041</v>
      </c>
      <c r="V123" s="103">
        <v>135041</v>
      </c>
      <c r="W123" s="103">
        <v>135041</v>
      </c>
      <c r="X123" s="103">
        <v>135041</v>
      </c>
      <c r="Y123" s="103">
        <v>135041</v>
      </c>
      <c r="Z123" s="103">
        <v>135041</v>
      </c>
      <c r="AA123" s="103">
        <v>135041</v>
      </c>
      <c r="AB123" s="103">
        <v>135041</v>
      </c>
      <c r="AC123" s="103">
        <v>135041</v>
      </c>
      <c r="AD123" s="103">
        <v>135041</v>
      </c>
      <c r="AE123" s="103">
        <v>135041</v>
      </c>
      <c r="AF123" s="103">
        <v>135041</v>
      </c>
    </row>
    <row r="124" spans="1:32" x14ac:dyDescent="0.3">
      <c r="A124" s="97" t="s">
        <v>70</v>
      </c>
      <c r="B124" s="113">
        <f>IRR(B123:AF123)</f>
        <v>0.49563653400325358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4"/>
    </row>
    <row r="125" spans="1:32" x14ac:dyDescent="0.3">
      <c r="A125" s="97"/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4"/>
    </row>
    <row r="126" spans="1:32" ht="15" thickBot="1" x14ac:dyDescent="0.35">
      <c r="A126" s="98" t="s">
        <v>48</v>
      </c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4"/>
    </row>
    <row r="127" spans="1:32" x14ac:dyDescent="0.3">
      <c r="A127" s="96" t="s">
        <v>1</v>
      </c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4"/>
    </row>
    <row r="128" spans="1:32" x14ac:dyDescent="0.3">
      <c r="A128" s="97" t="s">
        <v>4</v>
      </c>
      <c r="B128" s="102">
        <v>-742015</v>
      </c>
      <c r="C128" s="103">
        <f>J99-J97-2500</f>
        <v>148085</v>
      </c>
      <c r="D128" s="103">
        <v>148085</v>
      </c>
      <c r="E128" s="103">
        <v>148085</v>
      </c>
      <c r="F128" s="103">
        <v>148085</v>
      </c>
      <c r="G128" s="103">
        <v>148085</v>
      </c>
      <c r="H128" s="103">
        <v>148085</v>
      </c>
      <c r="I128" s="103">
        <v>148085</v>
      </c>
      <c r="J128" s="103">
        <v>148085</v>
      </c>
      <c r="K128" s="103">
        <v>148085</v>
      </c>
      <c r="L128" s="103">
        <v>148085</v>
      </c>
      <c r="M128" s="103">
        <v>148085</v>
      </c>
      <c r="N128" s="103">
        <v>148085</v>
      </c>
      <c r="O128" s="103">
        <v>148085</v>
      </c>
      <c r="P128" s="103">
        <v>148085</v>
      </c>
      <c r="Q128" s="103">
        <f>146399-S45</f>
        <v>-34642</v>
      </c>
      <c r="R128" s="103">
        <v>148085</v>
      </c>
      <c r="S128" s="103">
        <v>148085</v>
      </c>
      <c r="T128" s="103">
        <v>148085</v>
      </c>
      <c r="U128" s="103">
        <v>148085</v>
      </c>
      <c r="V128" s="103">
        <v>148085</v>
      </c>
      <c r="W128" s="103">
        <v>148085</v>
      </c>
      <c r="X128" s="103">
        <v>148085</v>
      </c>
      <c r="Y128" s="103">
        <v>148085</v>
      </c>
      <c r="Z128" s="103">
        <v>148085</v>
      </c>
      <c r="AA128" s="103">
        <v>148085</v>
      </c>
      <c r="AB128" s="103">
        <v>148085</v>
      </c>
      <c r="AC128" s="103">
        <v>148085</v>
      </c>
      <c r="AD128" s="103">
        <v>148085</v>
      </c>
      <c r="AE128" s="103">
        <v>148085</v>
      </c>
      <c r="AF128" s="103">
        <v>148085</v>
      </c>
    </row>
    <row r="129" spans="1:32" x14ac:dyDescent="0.3">
      <c r="A129" s="97" t="s">
        <v>70</v>
      </c>
      <c r="B129" s="113">
        <f>IRR(B128:AF128)</f>
        <v>0.19531556575881925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4"/>
    </row>
    <row r="130" spans="1:32" x14ac:dyDescent="0.3">
      <c r="A130" s="97"/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4"/>
    </row>
    <row r="131" spans="1:32" ht="15" thickBot="1" x14ac:dyDescent="0.35">
      <c r="A131" s="98" t="s">
        <v>51</v>
      </c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4"/>
    </row>
    <row r="132" spans="1:32" x14ac:dyDescent="0.3">
      <c r="A132" s="96" t="s">
        <v>1</v>
      </c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4"/>
    </row>
    <row r="133" spans="1:32" x14ac:dyDescent="0.3">
      <c r="A133" s="97" t="s">
        <v>4</v>
      </c>
      <c r="B133" s="102">
        <v>-289123</v>
      </c>
      <c r="C133" s="103">
        <f>J99-J98</f>
        <v>140662</v>
      </c>
      <c r="D133" s="103">
        <v>136476</v>
      </c>
      <c r="E133" s="103">
        <v>136476</v>
      </c>
      <c r="F133" s="103">
        <v>136476</v>
      </c>
      <c r="G133" s="103">
        <v>136476</v>
      </c>
      <c r="H133" s="103">
        <v>136476</v>
      </c>
      <c r="I133" s="103">
        <v>136476</v>
      </c>
      <c r="J133" s="103">
        <v>136476</v>
      </c>
      <c r="K133" s="103">
        <v>136476</v>
      </c>
      <c r="L133" s="103">
        <v>136476</v>
      </c>
      <c r="M133" s="103">
        <v>136476</v>
      </c>
      <c r="N133" s="103">
        <v>136476</v>
      </c>
      <c r="O133" s="103">
        <v>136476</v>
      </c>
      <c r="P133" s="103">
        <v>136476</v>
      </c>
      <c r="Q133" s="103">
        <v>136476</v>
      </c>
      <c r="R133" s="103">
        <v>136476</v>
      </c>
      <c r="S133" s="103">
        <v>136476</v>
      </c>
      <c r="T133" s="103">
        <v>136476</v>
      </c>
      <c r="U133" s="103">
        <v>136476</v>
      </c>
      <c r="V133" s="109">
        <f>136476-X61</f>
        <v>18012</v>
      </c>
      <c r="W133" s="103">
        <v>136476</v>
      </c>
      <c r="X133" s="103">
        <v>136476</v>
      </c>
      <c r="Y133" s="103">
        <v>136476</v>
      </c>
      <c r="Z133" s="103">
        <v>136476</v>
      </c>
      <c r="AA133" s="103">
        <v>136476</v>
      </c>
      <c r="AB133" s="103">
        <v>136476</v>
      </c>
      <c r="AC133" s="103">
        <v>136476</v>
      </c>
      <c r="AD133" s="103">
        <v>136476</v>
      </c>
      <c r="AE133" s="103">
        <v>136476</v>
      </c>
      <c r="AF133" s="14">
        <f>136476+31627</f>
        <v>168103</v>
      </c>
    </row>
    <row r="134" spans="1:32" x14ac:dyDescent="0.3">
      <c r="A134" s="97" t="s">
        <v>70</v>
      </c>
      <c r="B134" s="113">
        <f>IRR(B133:AF133)</f>
        <v>0.4766237675767715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4"/>
    </row>
    <row r="135" spans="1:32" ht="15" thickBot="1" x14ac:dyDescent="0.35">
      <c r="A135" s="99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6"/>
    </row>
    <row r="136" spans="1:32" x14ac:dyDescent="0.3">
      <c r="A136" s="110"/>
      <c r="B136" s="110"/>
    </row>
    <row r="137" spans="1:32" x14ac:dyDescent="0.3">
      <c r="A137" s="110"/>
      <c r="B137" s="110"/>
    </row>
    <row r="138" spans="1:32" x14ac:dyDescent="0.3">
      <c r="A138" s="110"/>
      <c r="B138" s="110"/>
    </row>
    <row r="139" spans="1:32" x14ac:dyDescent="0.3">
      <c r="A139" s="110"/>
      <c r="B139" s="110"/>
    </row>
    <row r="140" spans="1:32" x14ac:dyDescent="0.3">
      <c r="A140" s="110"/>
      <c r="B140" s="110"/>
    </row>
    <row r="141" spans="1:32" x14ac:dyDescent="0.3">
      <c r="A141" s="110"/>
      <c r="B141" s="110"/>
    </row>
    <row r="142" spans="1:32" x14ac:dyDescent="0.3">
      <c r="A142" s="110"/>
      <c r="B142" s="110"/>
    </row>
    <row r="143" spans="1:32" x14ac:dyDescent="0.3">
      <c r="H143" s="80"/>
      <c r="I143" s="80"/>
    </row>
    <row r="144" spans="1:32" x14ac:dyDescent="0.3">
      <c r="H144" s="80"/>
      <c r="I144" s="80"/>
    </row>
    <row r="145" spans="1:13" x14ac:dyDescent="0.3">
      <c r="H145" s="80"/>
      <c r="I145" s="80"/>
    </row>
    <row r="146" spans="1:13" x14ac:dyDescent="0.3">
      <c r="H146" s="80"/>
      <c r="I146" s="80"/>
    </row>
    <row r="147" spans="1:13" x14ac:dyDescent="0.3">
      <c r="H147" s="80"/>
      <c r="I147" s="80"/>
    </row>
    <row r="148" spans="1:13" x14ac:dyDescent="0.3">
      <c r="H148" s="80"/>
      <c r="I148" s="80"/>
    </row>
    <row r="151" spans="1:13" ht="18" x14ac:dyDescent="0.35">
      <c r="A151" s="11"/>
    </row>
    <row r="153" spans="1:13" x14ac:dyDescent="0.3">
      <c r="B153" s="8"/>
      <c r="E153" s="172"/>
      <c r="F153" s="172"/>
      <c r="G153" s="172"/>
      <c r="H153" s="172"/>
      <c r="I153" s="172"/>
      <c r="J153" s="172"/>
      <c r="K153" s="172"/>
      <c r="L153" s="172"/>
    </row>
    <row r="154" spans="1:13" x14ac:dyDescent="0.3">
      <c r="E154" s="172"/>
      <c r="F154" s="172"/>
      <c r="G154" s="172"/>
      <c r="H154" s="172"/>
      <c r="I154" s="172"/>
      <c r="J154" s="172"/>
      <c r="K154" s="172"/>
      <c r="L154" s="172"/>
      <c r="M154" s="172"/>
    </row>
    <row r="155" spans="1:13" x14ac:dyDescent="0.3">
      <c r="B155" s="81"/>
      <c r="C155" s="81"/>
      <c r="D155" s="81"/>
      <c r="E155" s="81"/>
      <c r="F155" s="81"/>
      <c r="G155" s="81"/>
      <c r="H155" s="81"/>
      <c r="I155" s="81"/>
      <c r="J155" s="81"/>
      <c r="K155" s="81"/>
    </row>
    <row r="156" spans="1:13" x14ac:dyDescent="0.3">
      <c r="B156" s="82"/>
      <c r="C156" s="82"/>
      <c r="D156" s="83"/>
      <c r="E156" s="187"/>
      <c r="F156" s="187"/>
      <c r="G156" s="187"/>
      <c r="H156" s="187"/>
      <c r="I156" s="187"/>
      <c r="J156" s="187"/>
      <c r="K156" s="187"/>
      <c r="L156" s="187"/>
      <c r="M156" s="84"/>
    </row>
    <row r="157" spans="1:13" x14ac:dyDescent="0.3">
      <c r="B157" s="82"/>
      <c r="C157" s="82"/>
      <c r="D157" s="83"/>
      <c r="E157" s="187"/>
      <c r="F157" s="187"/>
      <c r="G157" s="187"/>
      <c r="H157" s="187"/>
      <c r="I157" s="187"/>
      <c r="J157" s="187"/>
      <c r="K157" s="187"/>
      <c r="L157" s="187"/>
      <c r="M157" s="84"/>
    </row>
    <row r="158" spans="1:13" x14ac:dyDescent="0.3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2"/>
      <c r="M158" s="84"/>
    </row>
    <row r="159" spans="1:13" x14ac:dyDescent="0.3">
      <c r="B159" s="82"/>
      <c r="C159" s="82"/>
      <c r="D159" s="83"/>
      <c r="E159" s="187"/>
      <c r="F159" s="187"/>
      <c r="G159" s="187"/>
      <c r="H159" s="187"/>
      <c r="I159" s="187"/>
      <c r="J159" s="187"/>
      <c r="K159" s="187"/>
      <c r="L159" s="187"/>
      <c r="M159" s="84"/>
    </row>
    <row r="160" spans="1:13" x14ac:dyDescent="0.3">
      <c r="B160" s="82"/>
      <c r="C160" s="82"/>
      <c r="D160" s="83"/>
      <c r="E160" s="187"/>
      <c r="F160" s="187"/>
      <c r="G160" s="187"/>
      <c r="H160" s="187"/>
      <c r="I160" s="187"/>
      <c r="J160" s="187"/>
      <c r="K160" s="187"/>
      <c r="L160" s="187"/>
      <c r="M160" s="84"/>
    </row>
    <row r="161" spans="1:17" x14ac:dyDescent="0.3">
      <c r="B161" s="82"/>
      <c r="C161" s="82"/>
      <c r="D161" s="83"/>
      <c r="E161" s="187"/>
      <c r="F161" s="187"/>
      <c r="G161" s="187"/>
      <c r="H161" s="187"/>
      <c r="I161" s="187"/>
      <c r="J161" s="187"/>
      <c r="K161" s="187"/>
      <c r="L161" s="187"/>
      <c r="M161" s="84"/>
    </row>
    <row r="162" spans="1:17" x14ac:dyDescent="0.3">
      <c r="B162" s="82"/>
      <c r="C162" s="82"/>
      <c r="D162" s="83"/>
      <c r="E162" s="187"/>
      <c r="F162" s="187"/>
      <c r="G162" s="187"/>
      <c r="H162" s="187"/>
      <c r="I162" s="187"/>
      <c r="J162" s="187"/>
      <c r="K162" s="187"/>
      <c r="L162" s="187"/>
      <c r="M162" s="84"/>
    </row>
    <row r="163" spans="1:17" x14ac:dyDescent="0.3">
      <c r="B163" s="82"/>
      <c r="C163" s="82"/>
      <c r="D163" s="83"/>
      <c r="E163" s="187"/>
      <c r="F163" s="187"/>
      <c r="G163" s="187"/>
      <c r="H163" s="187"/>
      <c r="I163" s="187"/>
      <c r="J163" s="187"/>
      <c r="K163" s="187"/>
      <c r="L163" s="187"/>
      <c r="M163" s="84"/>
    </row>
    <row r="164" spans="1:17" x14ac:dyDescent="0.3">
      <c r="B164" s="82"/>
      <c r="C164" s="82"/>
      <c r="D164" s="83"/>
      <c r="E164" s="187"/>
      <c r="F164" s="187"/>
      <c r="G164" s="187"/>
      <c r="H164" s="187"/>
      <c r="I164" s="187"/>
      <c r="J164" s="187"/>
      <c r="K164" s="187"/>
      <c r="L164" s="187"/>
      <c r="M164" s="84"/>
    </row>
    <row r="165" spans="1:17" x14ac:dyDescent="0.3">
      <c r="B165" s="82"/>
      <c r="C165" s="82"/>
      <c r="D165" s="83"/>
      <c r="E165" s="187"/>
      <c r="F165" s="187"/>
      <c r="G165" s="187"/>
      <c r="H165" s="187"/>
      <c r="I165" s="187"/>
      <c r="J165" s="187"/>
      <c r="K165" s="187"/>
      <c r="L165" s="187"/>
      <c r="M165" s="84"/>
    </row>
    <row r="166" spans="1:17" x14ac:dyDescent="0.3">
      <c r="B166" s="82"/>
      <c r="C166" s="82"/>
      <c r="D166" s="83"/>
      <c r="E166" s="188"/>
      <c r="F166" s="188"/>
      <c r="G166" s="187"/>
      <c r="H166" s="187"/>
      <c r="I166" s="187"/>
      <c r="J166" s="187"/>
      <c r="K166" s="187"/>
      <c r="L166" s="187"/>
      <c r="M166" s="84"/>
    </row>
    <row r="167" spans="1:17" x14ac:dyDescent="0.3">
      <c r="G167" s="171"/>
      <c r="H167" s="172"/>
      <c r="I167" s="173"/>
      <c r="J167" s="173"/>
      <c r="K167" s="174"/>
      <c r="L167" s="174"/>
    </row>
    <row r="168" spans="1:17" x14ac:dyDescent="0.3">
      <c r="G168" s="171"/>
      <c r="H168" s="171"/>
      <c r="I168" s="174"/>
      <c r="J168" s="174"/>
      <c r="K168" s="174"/>
      <c r="L168" s="174"/>
    </row>
    <row r="169" spans="1:17" x14ac:dyDescent="0.3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</row>
    <row r="170" spans="1:17" x14ac:dyDescent="0.3">
      <c r="A170" s="171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</row>
    <row r="171" spans="1:17" ht="18" x14ac:dyDescent="0.35">
      <c r="A171" s="82"/>
      <c r="B171" s="185"/>
      <c r="C171" s="185"/>
      <c r="D171" s="185"/>
      <c r="E171" s="185"/>
      <c r="F171" s="185"/>
      <c r="G171" s="185"/>
      <c r="H171" s="185"/>
      <c r="I171" s="185"/>
      <c r="J171" s="186"/>
      <c r="K171" s="186"/>
      <c r="M171" s="80"/>
      <c r="N171" s="80"/>
      <c r="P171" s="85"/>
    </row>
    <row r="172" spans="1:17" ht="18" x14ac:dyDescent="0.35">
      <c r="A172" s="82"/>
      <c r="B172" s="185"/>
      <c r="C172" s="185"/>
      <c r="D172" s="185"/>
      <c r="E172" s="185"/>
      <c r="F172" s="185"/>
      <c r="G172" s="185"/>
      <c r="H172" s="185"/>
      <c r="I172" s="185"/>
      <c r="J172" s="186"/>
      <c r="K172" s="186"/>
      <c r="M172" s="86"/>
      <c r="N172" s="87"/>
      <c r="P172" s="85"/>
    </row>
    <row r="173" spans="1:17" ht="18" x14ac:dyDescent="0.35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M173" s="86"/>
      <c r="N173" s="87"/>
      <c r="P173" s="11"/>
    </row>
    <row r="174" spans="1:17" x14ac:dyDescent="0.3">
      <c r="A174" s="82"/>
      <c r="B174" s="185"/>
      <c r="C174" s="185"/>
      <c r="D174" s="185"/>
      <c r="E174" s="185"/>
      <c r="F174" s="185"/>
      <c r="G174" s="185"/>
      <c r="H174" s="185"/>
      <c r="I174" s="185"/>
      <c r="J174" s="186"/>
      <c r="K174" s="186"/>
      <c r="M174" s="86"/>
      <c r="N174" s="87"/>
      <c r="Q174" s="88"/>
    </row>
    <row r="175" spans="1:17" x14ac:dyDescent="0.3">
      <c r="A175" s="82"/>
      <c r="B175" s="185"/>
      <c r="C175" s="185"/>
      <c r="D175" s="185"/>
      <c r="E175" s="185"/>
      <c r="F175" s="185"/>
      <c r="G175" s="185"/>
      <c r="H175" s="185"/>
      <c r="I175" s="185"/>
      <c r="J175" s="186"/>
      <c r="K175" s="186"/>
      <c r="M175" s="86"/>
      <c r="N175" s="87"/>
      <c r="Q175" s="80"/>
    </row>
    <row r="176" spans="1:17" x14ac:dyDescent="0.3">
      <c r="A176" s="82"/>
      <c r="B176" s="182"/>
      <c r="C176" s="182"/>
      <c r="D176" s="185"/>
      <c r="E176" s="185"/>
      <c r="F176" s="185"/>
      <c r="G176" s="185"/>
      <c r="H176" s="185"/>
      <c r="I176" s="185"/>
      <c r="J176" s="186"/>
      <c r="K176" s="186"/>
      <c r="M176" s="86"/>
      <c r="N176" s="87"/>
      <c r="Q176" s="80"/>
    </row>
    <row r="177" spans="1:17" x14ac:dyDescent="0.3">
      <c r="A177" s="82"/>
      <c r="B177" s="182"/>
      <c r="C177" s="182"/>
      <c r="D177" s="182"/>
      <c r="E177" s="182"/>
      <c r="F177" s="182"/>
      <c r="G177" s="182"/>
      <c r="H177" s="182"/>
      <c r="I177" s="182"/>
      <c r="J177" s="186"/>
      <c r="K177" s="186"/>
      <c r="M177" s="86"/>
      <c r="N177" s="87"/>
      <c r="Q177" s="89"/>
    </row>
    <row r="178" spans="1:17" x14ac:dyDescent="0.3">
      <c r="A178" s="82"/>
      <c r="B178" s="185"/>
      <c r="C178" s="185"/>
      <c r="D178" s="185"/>
      <c r="E178" s="185"/>
      <c r="F178" s="185"/>
      <c r="G178" s="185"/>
      <c r="H178" s="185"/>
      <c r="I178" s="185"/>
      <c r="J178" s="186"/>
      <c r="K178" s="186"/>
      <c r="Q178" s="18"/>
    </row>
    <row r="179" spans="1:17" x14ac:dyDescent="0.3">
      <c r="A179" s="82"/>
      <c r="B179" s="185"/>
      <c r="C179" s="185"/>
      <c r="D179" s="185"/>
      <c r="E179" s="185"/>
      <c r="F179" s="185"/>
      <c r="G179" s="185"/>
      <c r="H179" s="185"/>
      <c r="I179" s="185"/>
      <c r="J179" s="186"/>
      <c r="K179" s="186"/>
    </row>
    <row r="180" spans="1:17" x14ac:dyDescent="0.3">
      <c r="A180" s="82"/>
      <c r="B180" s="185"/>
      <c r="C180" s="185"/>
      <c r="D180" s="185"/>
      <c r="E180" s="185"/>
      <c r="F180" s="185"/>
      <c r="G180" s="185"/>
      <c r="H180" s="185"/>
      <c r="I180" s="185"/>
      <c r="J180" s="186"/>
      <c r="K180" s="186"/>
    </row>
    <row r="181" spans="1:17" x14ac:dyDescent="0.3">
      <c r="A181" s="82"/>
      <c r="B181" s="185"/>
      <c r="C181" s="185"/>
      <c r="D181" s="185"/>
      <c r="E181" s="185"/>
      <c r="F181" s="185"/>
      <c r="G181" s="185"/>
      <c r="H181" s="185"/>
      <c r="I181" s="185"/>
      <c r="J181" s="186"/>
      <c r="K181" s="186"/>
    </row>
    <row r="182" spans="1:17" x14ac:dyDescent="0.3">
      <c r="A182" s="82"/>
      <c r="B182" s="185"/>
      <c r="C182" s="185"/>
      <c r="D182" s="185"/>
      <c r="E182" s="185"/>
      <c r="F182" s="185"/>
      <c r="G182" s="185"/>
      <c r="H182" s="185"/>
      <c r="I182" s="185"/>
      <c r="J182" s="186"/>
      <c r="K182" s="186"/>
    </row>
    <row r="183" spans="1:17" x14ac:dyDescent="0.3">
      <c r="C183" s="90"/>
      <c r="D183" s="184"/>
      <c r="E183" s="184"/>
      <c r="F183" s="184"/>
      <c r="G183" s="184"/>
      <c r="H183" s="184"/>
      <c r="I183" s="184"/>
      <c r="J183" s="184"/>
      <c r="K183" s="171"/>
    </row>
    <row r="188" spans="1:17" x14ac:dyDescent="0.3">
      <c r="A188" s="8"/>
      <c r="C188" s="172"/>
      <c r="D188" s="172"/>
      <c r="E188" s="172"/>
      <c r="F188" s="172"/>
      <c r="G188" s="172"/>
      <c r="H188" s="172"/>
    </row>
    <row r="189" spans="1:17" x14ac:dyDescent="0.3">
      <c r="C189" s="80"/>
      <c r="D189" s="80"/>
      <c r="E189" s="172"/>
      <c r="F189" s="172"/>
      <c r="G189" s="172"/>
      <c r="H189" s="172"/>
    </row>
    <row r="190" spans="1:17" x14ac:dyDescent="0.3">
      <c r="A190" s="81"/>
      <c r="B190" s="81"/>
      <c r="C190" s="87"/>
      <c r="D190" s="87"/>
      <c r="E190" s="171"/>
      <c r="F190" s="171"/>
      <c r="G190" s="171"/>
      <c r="H190" s="171"/>
      <c r="I190" s="81"/>
      <c r="J190" s="81"/>
      <c r="K190" s="81"/>
    </row>
    <row r="191" spans="1:17" x14ac:dyDescent="0.3">
      <c r="A191" s="82"/>
      <c r="C191" s="91"/>
      <c r="D191" s="80"/>
      <c r="E191" s="172"/>
      <c r="F191" s="172"/>
      <c r="G191" s="182"/>
      <c r="H191" s="182"/>
    </row>
    <row r="192" spans="1:17" x14ac:dyDescent="0.3">
      <c r="C192" s="91"/>
      <c r="D192" s="80"/>
      <c r="E192" s="172"/>
      <c r="F192" s="172"/>
      <c r="G192" s="182"/>
      <c r="H192" s="182"/>
    </row>
    <row r="193" spans="1:11" x14ac:dyDescent="0.3">
      <c r="A193" s="82"/>
      <c r="B193" s="92"/>
      <c r="C193" s="91"/>
      <c r="D193" s="91"/>
      <c r="E193" s="172"/>
      <c r="F193" s="172"/>
      <c r="G193" s="182"/>
      <c r="H193" s="182"/>
      <c r="I193" s="92"/>
      <c r="J193" s="92"/>
      <c r="K193" s="92"/>
    </row>
    <row r="194" spans="1:11" x14ac:dyDescent="0.3">
      <c r="A194" s="92"/>
      <c r="C194" s="80"/>
      <c r="D194" s="80"/>
      <c r="E194" s="171"/>
      <c r="F194" s="171"/>
      <c r="G194" s="182"/>
      <c r="H194" s="182"/>
    </row>
    <row r="195" spans="1:11" x14ac:dyDescent="0.3">
      <c r="A195" s="82"/>
      <c r="C195" s="91"/>
      <c r="D195" s="80"/>
      <c r="E195" s="172"/>
      <c r="F195" s="172"/>
      <c r="G195" s="182"/>
      <c r="H195" s="182"/>
    </row>
    <row r="196" spans="1:11" x14ac:dyDescent="0.3">
      <c r="A196" s="82"/>
      <c r="C196" s="91"/>
      <c r="D196" s="80"/>
      <c r="E196" s="172"/>
      <c r="F196" s="172"/>
      <c r="G196" s="182"/>
      <c r="H196" s="182"/>
    </row>
    <row r="197" spans="1:11" x14ac:dyDescent="0.3">
      <c r="A197" s="82"/>
      <c r="C197" s="91"/>
      <c r="D197" s="80"/>
      <c r="E197" s="172"/>
      <c r="F197" s="172"/>
      <c r="G197" s="182"/>
      <c r="H197" s="182"/>
    </row>
    <row r="198" spans="1:11" x14ac:dyDescent="0.3">
      <c r="A198" s="82"/>
      <c r="C198" s="91"/>
      <c r="D198" s="80"/>
      <c r="E198" s="171"/>
      <c r="F198" s="171"/>
      <c r="G198" s="182"/>
      <c r="H198" s="182"/>
    </row>
    <row r="199" spans="1:11" x14ac:dyDescent="0.3">
      <c r="A199" s="82"/>
      <c r="C199" s="91"/>
      <c r="D199" s="80"/>
      <c r="E199" s="172"/>
      <c r="F199" s="172"/>
      <c r="G199" s="182"/>
      <c r="H199" s="182"/>
    </row>
    <row r="200" spans="1:11" x14ac:dyDescent="0.3">
      <c r="A200" s="82"/>
      <c r="C200" s="91"/>
      <c r="D200" s="80"/>
      <c r="E200" s="172"/>
      <c r="F200" s="172"/>
      <c r="G200" s="182"/>
      <c r="H200" s="182"/>
    </row>
    <row r="201" spans="1:11" x14ac:dyDescent="0.3">
      <c r="A201" s="82"/>
      <c r="C201" s="91"/>
      <c r="D201" s="80"/>
      <c r="E201" s="172"/>
      <c r="F201" s="172"/>
      <c r="G201" s="182"/>
      <c r="H201" s="182"/>
    </row>
    <row r="202" spans="1:11" x14ac:dyDescent="0.3">
      <c r="A202" s="82"/>
      <c r="C202" s="91"/>
      <c r="D202" s="80"/>
      <c r="E202" s="172"/>
      <c r="F202" s="172"/>
      <c r="G202" s="182"/>
      <c r="H202" s="182"/>
    </row>
    <row r="203" spans="1:11" x14ac:dyDescent="0.3">
      <c r="A203" s="82"/>
      <c r="C203" s="80"/>
      <c r="D203" s="80"/>
      <c r="E203" s="172"/>
      <c r="F203" s="172"/>
      <c r="G203" s="181"/>
      <c r="H203" s="181"/>
    </row>
    <row r="204" spans="1:11" x14ac:dyDescent="0.3">
      <c r="A204" s="82"/>
      <c r="C204" s="91"/>
      <c r="D204" s="80"/>
      <c r="E204" s="172"/>
      <c r="F204" s="172"/>
      <c r="G204" s="183"/>
      <c r="H204" s="183"/>
    </row>
    <row r="205" spans="1:11" x14ac:dyDescent="0.3">
      <c r="A205" s="82"/>
      <c r="C205" s="80"/>
      <c r="D205" s="80"/>
      <c r="E205" s="172"/>
      <c r="F205" s="172"/>
      <c r="G205" s="181"/>
      <c r="H205" s="181"/>
    </row>
  </sheetData>
  <mergeCells count="153">
    <mergeCell ref="E156:F156"/>
    <mergeCell ref="G156:H156"/>
    <mergeCell ref="I156:J156"/>
    <mergeCell ref="K156:L156"/>
    <mergeCell ref="E157:F157"/>
    <mergeCell ref="G157:H157"/>
    <mergeCell ref="I157:J157"/>
    <mergeCell ref="K157:L157"/>
    <mergeCell ref="A77:B77"/>
    <mergeCell ref="E153:F153"/>
    <mergeCell ref="G153:H153"/>
    <mergeCell ref="I153:J153"/>
    <mergeCell ref="K153:L153"/>
    <mergeCell ref="E154:M154"/>
    <mergeCell ref="E161:F161"/>
    <mergeCell ref="G161:H161"/>
    <mergeCell ref="I161:J161"/>
    <mergeCell ref="K161:L161"/>
    <mergeCell ref="E162:F162"/>
    <mergeCell ref="G162:H162"/>
    <mergeCell ref="I162:J162"/>
    <mergeCell ref="K162:L162"/>
    <mergeCell ref="E159:F159"/>
    <mergeCell ref="G159:H159"/>
    <mergeCell ref="I159:J159"/>
    <mergeCell ref="K159:L159"/>
    <mergeCell ref="E160:F160"/>
    <mergeCell ref="G160:H160"/>
    <mergeCell ref="I160:J160"/>
    <mergeCell ref="K160:L160"/>
    <mergeCell ref="E165:F165"/>
    <mergeCell ref="G165:H165"/>
    <mergeCell ref="I165:J165"/>
    <mergeCell ref="K165:L165"/>
    <mergeCell ref="E166:F166"/>
    <mergeCell ref="G166:H166"/>
    <mergeCell ref="I166:J166"/>
    <mergeCell ref="K166:L166"/>
    <mergeCell ref="E163:F163"/>
    <mergeCell ref="G163:H163"/>
    <mergeCell ref="I163:J163"/>
    <mergeCell ref="K163:L163"/>
    <mergeCell ref="E164:F164"/>
    <mergeCell ref="G164:H164"/>
    <mergeCell ref="I164:J164"/>
    <mergeCell ref="K164:L164"/>
    <mergeCell ref="B169:C169"/>
    <mergeCell ref="D169:E169"/>
    <mergeCell ref="F169:G169"/>
    <mergeCell ref="H169:I169"/>
    <mergeCell ref="J169:K169"/>
    <mergeCell ref="A170:K170"/>
    <mergeCell ref="G167:H167"/>
    <mergeCell ref="I167:J167"/>
    <mergeCell ref="K167:L167"/>
    <mergeCell ref="G168:H168"/>
    <mergeCell ref="I168:J168"/>
    <mergeCell ref="K168:L168"/>
    <mergeCell ref="A173:K173"/>
    <mergeCell ref="B174:C174"/>
    <mergeCell ref="D174:E174"/>
    <mergeCell ref="F174:G174"/>
    <mergeCell ref="H174:I174"/>
    <mergeCell ref="J174:K174"/>
    <mergeCell ref="B171:C171"/>
    <mergeCell ref="D171:E171"/>
    <mergeCell ref="F171:G171"/>
    <mergeCell ref="H171:I171"/>
    <mergeCell ref="J171:K171"/>
    <mergeCell ref="B172:C172"/>
    <mergeCell ref="D172:E172"/>
    <mergeCell ref="F172:G172"/>
    <mergeCell ref="H172:I172"/>
    <mergeCell ref="J172:K172"/>
    <mergeCell ref="B175:C175"/>
    <mergeCell ref="D175:E175"/>
    <mergeCell ref="F175:G175"/>
    <mergeCell ref="H175:I175"/>
    <mergeCell ref="J175:K175"/>
    <mergeCell ref="B176:C176"/>
    <mergeCell ref="D176:E176"/>
    <mergeCell ref="F176:G176"/>
    <mergeCell ref="H176:I176"/>
    <mergeCell ref="J176:K176"/>
    <mergeCell ref="B177:C177"/>
    <mergeCell ref="D177:E177"/>
    <mergeCell ref="F177:G177"/>
    <mergeCell ref="H177:I177"/>
    <mergeCell ref="J177:K177"/>
    <mergeCell ref="B178:C178"/>
    <mergeCell ref="D178:E178"/>
    <mergeCell ref="F178:G178"/>
    <mergeCell ref="H178:I178"/>
    <mergeCell ref="J178:K178"/>
    <mergeCell ref="B179:C179"/>
    <mergeCell ref="D179:E179"/>
    <mergeCell ref="F179:G179"/>
    <mergeCell ref="H179:I179"/>
    <mergeCell ref="J179:K179"/>
    <mergeCell ref="B180:C180"/>
    <mergeCell ref="D180:E180"/>
    <mergeCell ref="F180:G180"/>
    <mergeCell ref="H180:I180"/>
    <mergeCell ref="J180:K180"/>
    <mergeCell ref="J183:K183"/>
    <mergeCell ref="C188:H188"/>
    <mergeCell ref="E189:F189"/>
    <mergeCell ref="G189:H189"/>
    <mergeCell ref="B181:C181"/>
    <mergeCell ref="D181:E181"/>
    <mergeCell ref="F181:G181"/>
    <mergeCell ref="H181:I181"/>
    <mergeCell ref="J181:K181"/>
    <mergeCell ref="B182:C182"/>
    <mergeCell ref="D182:E182"/>
    <mergeCell ref="F182:G182"/>
    <mergeCell ref="H182:I182"/>
    <mergeCell ref="J182:K182"/>
    <mergeCell ref="E190:F190"/>
    <mergeCell ref="G190:H190"/>
    <mergeCell ref="E191:F191"/>
    <mergeCell ref="G191:H191"/>
    <mergeCell ref="E192:F192"/>
    <mergeCell ref="G192:H192"/>
    <mergeCell ref="D183:E183"/>
    <mergeCell ref="F183:G183"/>
    <mergeCell ref="H183:I183"/>
    <mergeCell ref="E196:F196"/>
    <mergeCell ref="G196:H196"/>
    <mergeCell ref="E197:F197"/>
    <mergeCell ref="G197:H197"/>
    <mergeCell ref="E198:F198"/>
    <mergeCell ref="G198:H198"/>
    <mergeCell ref="E193:F193"/>
    <mergeCell ref="G193:H193"/>
    <mergeCell ref="E194:F194"/>
    <mergeCell ref="G194:H194"/>
    <mergeCell ref="E195:F195"/>
    <mergeCell ref="G195:H195"/>
    <mergeCell ref="E205:F205"/>
    <mergeCell ref="G205:H205"/>
    <mergeCell ref="E202:F202"/>
    <mergeCell ref="G202:H202"/>
    <mergeCell ref="E203:F203"/>
    <mergeCell ref="G203:H203"/>
    <mergeCell ref="E204:F204"/>
    <mergeCell ref="G204:H204"/>
    <mergeCell ref="E199:F199"/>
    <mergeCell ref="G199:H199"/>
    <mergeCell ref="E200:F200"/>
    <mergeCell ref="G200:H200"/>
    <mergeCell ref="E201:F201"/>
    <mergeCell ref="G201:H20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</vt:lpstr>
      <vt:lpstr>NPV, RCF, IRR, Doba návratnosti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pet21</dc:creator>
  <cp:lastModifiedBy>pet21</cp:lastModifiedBy>
  <dcterms:created xsi:type="dcterms:W3CDTF">2022-05-19T23:04:48Z</dcterms:created>
  <dcterms:modified xsi:type="dcterms:W3CDTF">2022-05-20T10:02:18Z</dcterms:modified>
</cp:coreProperties>
</file>